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1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1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ropbox\Fellowship 1960-2015 PFU database\Data\Machines - Data\Gasoline_LDVs\"/>
    </mc:Choice>
  </mc:AlternateContent>
  <xr:revisionPtr revIDLastSave="0" documentId="13_ncr:1_{8AC06ABA-CE8A-473B-9C8E-84D59B8ED846}" xr6:coauthVersionLast="47" xr6:coauthVersionMax="47" xr10:uidLastSave="{00000000-0000-0000-0000-000000000000}"/>
  <bookViews>
    <workbookView xWindow="1920" yWindow="1920" windowWidth="17280" windowHeight="9420" tabRatio="847" xr2:uid="{00000000-000D-0000-FFFF-FFFF00000000}"/>
  </bookViews>
  <sheets>
    <sheet name="REFS" sheetId="24" r:id="rId1"/>
    <sheet name="FIN_ETA" sheetId="3" r:id="rId2"/>
    <sheet name="Calcs method" sheetId="31" r:id="rId3"/>
    <sheet name="1_LDV calcs" sheetId="32" r:id="rId4"/>
    <sheet name="1_UK stats LDVs" sheetId="30" r:id="rId5"/>
    <sheet name="1_USA Table 1.8 realworld" sheetId="29" r:id="rId6"/>
    <sheet name="1_GFEI_IEA 2019" sheetId="12" r:id="rId7"/>
    <sheet name="1_summary econ graph" sheetId="28" r:id="rId8"/>
    <sheet name="Holmberg 2012" sheetId="36" r:id="rId9"/>
    <sheet name="UK JRC" sheetId="33" r:id="rId10"/>
    <sheet name="GER JRC" sheetId="35" r:id="rId11"/>
    <sheet name="EU-28 JRC" sheetId="34" r:id="rId12"/>
    <sheet name="Russia realworld cars 1985 2008" sheetId="26" r:id="rId13"/>
    <sheet name="2_Yang 2014" sheetId="7" r:id="rId14"/>
    <sheet name="Yang ICCT 2017" sheetId="23" r:id="rId15"/>
    <sheet name="3_Greene 2010" sheetId="9" r:id="rId16"/>
    <sheet name="4_Sugathapala 2015" sheetId="6" r:id="rId17"/>
    <sheet name="5_EEA 2000" sheetId="11" r:id="rId18"/>
    <sheet name="7_GFEI 2016" sheetId="13" r:id="rId19"/>
    <sheet name="8_ICCT 2014" sheetId="15" r:id="rId20"/>
    <sheet name="ICCT 2012" sheetId="14" r:id="rId21"/>
    <sheet name="Tietge 2017" sheetId="16" r:id="rId22"/>
    <sheet name="ss_Lutsey 2005" sheetId="1" r:id="rId23"/>
    <sheet name="Gohlke 2018" sheetId="5" r:id="rId24"/>
    <sheet name="An et al. 2001" sheetId="25" r:id="rId25"/>
    <sheet name="Weiss 2020" sheetId="8" r:id="rId26"/>
    <sheet name="Berry 2010" sheetId="10" r:id="rId27"/>
    <sheet name="An 2011" sheetId="17" r:id="rId28"/>
    <sheet name="USA fuel 1960" sheetId="18" r:id="rId29"/>
    <sheet name="Harvey 2020" sheetId="19" r:id="rId30"/>
    <sheet name="BRAZIL" sheetId="22" r:id="rId31"/>
    <sheet name="Transport Policy" sheetId="20" r:id="rId32"/>
    <sheet name="Transport Stat 2014 " sheetId="21" r:id="rId33"/>
  </sheets>
  <externalReferences>
    <externalReference r:id="rId34"/>
    <externalReference r:id="rId35"/>
    <externalReference r:id="rId36"/>
    <externalReference r:id="rId37"/>
    <externalReference r:id="rId38"/>
    <externalReference r:id="rId39"/>
  </externalReferences>
  <definedNames>
    <definedName name="\0">[1]TABLE1a!$U$1:$U$7</definedName>
    <definedName name="\a">!#REF!</definedName>
    <definedName name="\b">#N/A</definedName>
    <definedName name="\p">[1]TABLE1a!$P$1</definedName>
    <definedName name="\s">!#REF!</definedName>
    <definedName name="\t">[1]TABLE1a!$U$3:$U$3</definedName>
    <definedName name="\z">!#REF!</definedName>
    <definedName name="_1.2__Average_distance_travelled_by_mode_of_travel__1975_76__1985_86_and_1993_95">#REF!</definedName>
    <definedName name="_1981">#REF!</definedName>
    <definedName name="_PRv2">!#REF!</definedName>
    <definedName name="_PUv2">!#REF!</definedName>
    <definedName name="_QU1">!#REF!</definedName>
    <definedName name="_QU10">!#REF!</definedName>
    <definedName name="_QU11">!#REF!</definedName>
    <definedName name="_QU12">!#REF!</definedName>
    <definedName name="_QU13">!#REF!</definedName>
    <definedName name="_QU14">!#REF!</definedName>
    <definedName name="_QU15">!#REF!</definedName>
    <definedName name="_QU16">!#REF!</definedName>
    <definedName name="_qu17">!#REF!</definedName>
    <definedName name="_QU2">!#REF!</definedName>
    <definedName name="_QU3">!#REF!</definedName>
    <definedName name="_QU4">!#REF!</definedName>
    <definedName name="_QU5">!#REF!</definedName>
    <definedName name="_QU6">!#REF!</definedName>
    <definedName name="_QU7">!#REF!</definedName>
    <definedName name="_QU8">!#REF!</definedName>
    <definedName name="_QU9">!#REF!</definedName>
    <definedName name="_tab13">#REF!</definedName>
    <definedName name="_tab14">#REF!</definedName>
    <definedName name="_TAB2">!#REF!</definedName>
    <definedName name="_TAB9">!#REF!</definedName>
    <definedName name="_TRv2">!#REF!</definedName>
    <definedName name="_tuv2">!#REF!</definedName>
    <definedName name="_Yr01">!#REF!</definedName>
    <definedName name="_Yr02">!#REF!</definedName>
    <definedName name="activeCell">#REF!</definedName>
    <definedName name="ALL">#N/A</definedName>
    <definedName name="ANNBELGIUM">[1]TABLE5!$D$5:$D$12</definedName>
    <definedName name="ANNDVR">[1]TABLE4AL!$D$6:$D$12</definedName>
    <definedName name="ANNENG">[1]TABLE4AL!$F$6:$F$12</definedName>
    <definedName name="ANNFORIEGN">[1]TABLE1a!$P$37:$P$37</definedName>
    <definedName name="ANNFRANCE">[1]TABLE5!$B$5:$B$12</definedName>
    <definedName name="ANNL">[1]TABLE5!$F$5:$F$12</definedName>
    <definedName name="ANNOTHER">[1]TABLE5!$J$5:$J$12</definedName>
    <definedName name="ANNSE">[1]TABLE4AL!$B$6:$B$12</definedName>
    <definedName name="ANNUAL">#REF!</definedName>
    <definedName name="ANNUK">[1]TABLE1a!$E$8:$E$14</definedName>
    <definedName name="ANNUT">[1]TABLE1a!$M$8:$M$14</definedName>
    <definedName name="BARQTR">#REF!</definedName>
    <definedName name="BELGIUM">#REF!</definedName>
    <definedName name="BOTO">!#REF!</definedName>
    <definedName name="BOTO2">!#REF!</definedName>
    <definedName name="BULL">#N/A</definedName>
    <definedName name="CAMARA">[1]TABLE1a!$P$4</definedName>
    <definedName name="CategoryTitle">#REF!</definedName>
    <definedName name="CLONE">[1]TABLE1a!$P$6</definedName>
    <definedName name="COP_max">'[2]Domestic refrigeration'!$B$12</definedName>
    <definedName name="DASH">!#REF!</definedName>
    <definedName name="Data_col1">!#REF!</definedName>
    <definedName name="DEFLATOR">#REF!</definedName>
    <definedName name="deltaE_food">#REF!</definedName>
    <definedName name="dgdsfyh">#REF!</definedName>
    <definedName name="DK">#REF!</definedName>
    <definedName name="DNK_D">#REF!</definedName>
    <definedName name="DOVER">#N/A</definedName>
    <definedName name="EIRE">#REF!</definedName>
    <definedName name="ENGLISH">#N/A</definedName>
    <definedName name="Ep_tot_cap_2000">#REF!</definedName>
    <definedName name="eta_charcoal">[3]Afrane_2012!$B$6</definedName>
    <definedName name="exchange_rate">!#REF!</definedName>
    <definedName name="fbegyear">#REF!</definedName>
    <definedName name="fendyear">[4]Year!$B$3</definedName>
    <definedName name="FL">#REF!</definedName>
    <definedName name="Footnotes">#REF!</definedName>
    <definedName name="FOREIGN">[1]TABLE1a!$P$38:$P$52</definedName>
    <definedName name="FRANCE">#REF!</definedName>
    <definedName name="fyear">[4]c11!$D$42</definedName>
    <definedName name="GEOG9703">!#REF!</definedName>
    <definedName name="GERMANY">#REF!</definedName>
    <definedName name="GraphData">'[5]TIS-INDEX'!$B$13:$Q$44,'[5]TIS-INDEX'!$E$9:$R$9</definedName>
    <definedName name="GraphTitle">#REF!</definedName>
    <definedName name="ITALY">#REF!</definedName>
    <definedName name="Lon">!#REF!</definedName>
    <definedName name="MIN">!#REF!</definedName>
    <definedName name="mincheck">!#REF!</definedName>
    <definedName name="N_ml">#REF!</definedName>
    <definedName name="name">!#REF!</definedName>
    <definedName name="NLS">#REF!</definedName>
    <definedName name="NONEC">#REF!</definedName>
    <definedName name="NORTHSEA">#N/A</definedName>
    <definedName name="OldData">#REF!</definedName>
    <definedName name="OTHER">#N/A</definedName>
    <definedName name="OTHEREC">#REF!</definedName>
    <definedName name="phi_Combustible_renewables">[2]phi_heat!$C$17</definedName>
    <definedName name="phi_Electricity">[2]phi_heat!$C$28</definedName>
    <definedName name="phi_Feed">[2]phi_heat!$C$27</definedName>
    <definedName name="phi_Food">[2]phi_heat!$C$26</definedName>
    <definedName name="phi_HTH.600.C">[2]phi_heat!$C$10</definedName>
    <definedName name="phi_Hydro">[2]phi_heat!$C$19</definedName>
    <definedName name="phi_LTH.neg20.C">[2]phi_heat!$C$6</definedName>
    <definedName name="phi_MTH.100.C">[2]phi_heat!$C$8</definedName>
    <definedName name="phi_MTH.200.C">[2]phi_heat!$C$9</definedName>
    <definedName name="phi_Natural_gas">[2]phi_heat!$C$15</definedName>
    <definedName name="phi_Oil_and_oil_products">[2]phi_heat!$C$16</definedName>
    <definedName name="phi_Phytomass">[2]phi_heat!$C$29</definedName>
    <definedName name="PIE">#REF!</definedName>
    <definedName name="PM">"['file:///C:/temp/Working%20files/6.11.9%20DW%20LHA%20&amp;%20HA%20roads%20casulties_1WIP.xls'#$Sheet1.$K$1:.$S$13]"</definedName>
    <definedName name="PR">!#REF!</definedName>
    <definedName name="_xlnm.Print_Area">#REF!</definedName>
    <definedName name="Print_Area_MI">[1]TABLE1a!$A$1:$O$37</definedName>
    <definedName name="_xlnm.Print_Titles" localSheetId="11">'EU-28 JRC'!$1:$1</definedName>
    <definedName name="_xlnm.Print_Titles" localSheetId="10">'GER JRC'!$1:$1</definedName>
    <definedName name="_xlnm.Print_Titles" localSheetId="9">'UK JRC'!$1:$1</definedName>
    <definedName name="PU">!#REF!</definedName>
    <definedName name="PUBLISH_Print_Area">#REF!</definedName>
    <definedName name="PUBLISH1998_Print_Area">#REF!</definedName>
    <definedName name="qryNonEUBreakdown">#REF!</definedName>
    <definedName name="QUARTER">#REF!</definedName>
    <definedName name="R_">!#REF!</definedName>
    <definedName name="region">!#REF!</definedName>
    <definedName name="S_food">#REF!</definedName>
    <definedName name="S_food_2000">#REF!</definedName>
    <definedName name="S_food_S_food_2000">#REF!</definedName>
    <definedName name="SPAIN">#REF!</definedName>
    <definedName name="T_0_ref">'[2]Domestic refrigeration'!$B$10</definedName>
    <definedName name="T_ref">'[2]Domestic refrigeration'!$B$11</definedName>
    <definedName name="tab">[6]TABLE1a!$U$3:$U$3</definedName>
    <definedName name="TAB4ALL">#N/A</definedName>
    <definedName name="TAB4PV">#N/A</definedName>
    <definedName name="TAB4UT">#N/A</definedName>
    <definedName name="TAB5cQT">!#REF!</definedName>
    <definedName name="TableTitle">#REF!</definedName>
    <definedName name="TB6a_bik">!#REF!</definedName>
    <definedName name="TB6a_car">!#REF!</definedName>
    <definedName name="TB6a_cyc">!#REF!</definedName>
    <definedName name="TB6a_ped">!#REF!</definedName>
    <definedName name="TB6b_bik">!#REF!</definedName>
    <definedName name="TB6b_car">!#REF!</definedName>
    <definedName name="TB6b_cyc">!#REF!</definedName>
    <definedName name="TB6b_ped">!#REF!</definedName>
    <definedName name="TB6c_bik">!#REF!</definedName>
    <definedName name="TB6c_car">!#REF!</definedName>
    <definedName name="TB6c_cyc">!#REF!</definedName>
    <definedName name="TB6c_ped">!#REF!</definedName>
    <definedName name="temp02">!#REF!</definedName>
    <definedName name="testing">#REF!</definedName>
    <definedName name="TM">"['file:///C:/temp/Working%20files/6.11.9%20DW%20LHA%20&amp;%20HA%20roads%20casulties_1WIP.xls'#$Sheet1.$A$1:.$I$119]"</definedName>
    <definedName name="TOP">!#REF!</definedName>
    <definedName name="TR">"['file:///C:/temp/Working%20files/6.11.9%20DW%20LHA%20&amp;%20HA%20roads%20casulties_1WIP.xls'#$Sheet1.$U$1:.$AB$146]"</definedName>
    <definedName name="TU">"['file:///C:/temp/Working%20files/6.11.9%20DW%20LHA%20&amp;%20HA%20roads%20casulties_1WIP.xls'#$Sheet1.$AC$1:.$AJ$133]"</definedName>
    <definedName name="UK">#N/A</definedName>
    <definedName name="UT">#N/A</definedName>
    <definedName name="v">!#REF!</definedName>
    <definedName name="ValueTitle">#REF!</definedName>
    <definedName name="w">#REF!</definedName>
    <definedName name="Year_Food">#REF!</definedName>
    <definedName name="Yr00">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N176" i="30" l="1"/>
  <c r="N177" i="30" s="1"/>
  <c r="O176" i="30"/>
  <c r="O177" i="30" s="1"/>
  <c r="P176" i="30"/>
  <c r="Q176" i="30"/>
  <c r="R176" i="30"/>
  <c r="R177" i="30" s="1"/>
  <c r="S176" i="30"/>
  <c r="T176" i="30"/>
  <c r="T177" i="30" s="1"/>
  <c r="U176" i="30"/>
  <c r="V176" i="30"/>
  <c r="W176" i="30"/>
  <c r="X176" i="30"/>
  <c r="X177" i="30" s="1"/>
  <c r="Y176" i="30"/>
  <c r="Z176" i="30"/>
  <c r="Z177" i="30" s="1"/>
  <c r="AA176" i="30"/>
  <c r="AB176" i="30"/>
  <c r="AB177" i="30" s="1"/>
  <c r="AC176" i="30"/>
  <c r="AC177" i="30" s="1"/>
  <c r="AD176" i="30"/>
  <c r="AD177" i="30" s="1"/>
  <c r="AE176" i="30"/>
  <c r="AF176" i="30"/>
  <c r="AF177" i="30" s="1"/>
  <c r="AG176" i="30"/>
  <c r="AH176" i="30"/>
  <c r="AI176" i="30"/>
  <c r="AJ176" i="30"/>
  <c r="AK176" i="30"/>
  <c r="AK177" i="30" s="1"/>
  <c r="AL176" i="30"/>
  <c r="AL177" i="30" s="1"/>
  <c r="AM176" i="30"/>
  <c r="AM177" i="30" s="1"/>
  <c r="AN176" i="30"/>
  <c r="AN177" i="30" s="1"/>
  <c r="AO176" i="30"/>
  <c r="AP176" i="30"/>
  <c r="AQ176" i="30"/>
  <c r="AR176" i="30"/>
  <c r="AS176" i="30"/>
  <c r="AT176" i="30"/>
  <c r="AT177" i="30" s="1"/>
  <c r="AU176" i="30"/>
  <c r="AU177" i="30" s="1"/>
  <c r="AV176" i="30"/>
  <c r="AV177" i="30" s="1"/>
  <c r="AW176" i="30"/>
  <c r="AX176" i="30"/>
  <c r="AX177" i="30" s="1"/>
  <c r="AY176" i="30"/>
  <c r="AZ176" i="30"/>
  <c r="BA176" i="30"/>
  <c r="BA177" i="30" s="1"/>
  <c r="BB176" i="30"/>
  <c r="BC176" i="30"/>
  <c r="BD176" i="30"/>
  <c r="BD177" i="30" s="1"/>
  <c r="BE176" i="30"/>
  <c r="BF176" i="30"/>
  <c r="BG176" i="30"/>
  <c r="BH176" i="30"/>
  <c r="BI176" i="30"/>
  <c r="BI177" i="30" s="1"/>
  <c r="BJ176" i="30"/>
  <c r="BJ177" i="30" s="1"/>
  <c r="BK176" i="30"/>
  <c r="BK177" i="30" s="1"/>
  <c r="N168" i="30"/>
  <c r="R168" i="30"/>
  <c r="R170" i="30" s="1"/>
  <c r="S168" i="30"/>
  <c r="T168" i="30"/>
  <c r="V168" i="30"/>
  <c r="AA168" i="30"/>
  <c r="AB168" i="30"/>
  <c r="AD168" i="30"/>
  <c r="AH168" i="30"/>
  <c r="AH170" i="30" s="1"/>
  <c r="AI168" i="30"/>
  <c r="AJ168" i="30"/>
  <c r="AL168" i="30"/>
  <c r="AQ168" i="30"/>
  <c r="AR168" i="30"/>
  <c r="AT168" i="30"/>
  <c r="AX168" i="30"/>
  <c r="AX170" i="30" s="1"/>
  <c r="AY168" i="30"/>
  <c r="AZ168" i="30"/>
  <c r="BB168" i="30"/>
  <c r="BG168" i="30"/>
  <c r="BG170" i="30" s="1"/>
  <c r="BH168" i="30"/>
  <c r="BJ168" i="30"/>
  <c r="W169" i="30"/>
  <c r="X169" i="30"/>
  <c r="Y169" i="30"/>
  <c r="AU169" i="30"/>
  <c r="AV169" i="30"/>
  <c r="BC169" i="30"/>
  <c r="S177" i="30"/>
  <c r="P177" i="30"/>
  <c r="BF177" i="30"/>
  <c r="BE177" i="30"/>
  <c r="BC177" i="30"/>
  <c r="BB177" i="30"/>
  <c r="AZ177" i="30"/>
  <c r="AS177" i="30"/>
  <c r="AR177" i="30"/>
  <c r="AP177" i="30"/>
  <c r="AJ177" i="30"/>
  <c r="AH177" i="30"/>
  <c r="AG177" i="30"/>
  <c r="AE177" i="30"/>
  <c r="Y177" i="30"/>
  <c r="W177" i="30"/>
  <c r="V177" i="30"/>
  <c r="U177" i="30"/>
  <c r="Q177" i="30"/>
  <c r="H174" i="30"/>
  <c r="N182" i="30"/>
  <c r="O182" i="30"/>
  <c r="O168" i="30" s="1"/>
  <c r="P182" i="30"/>
  <c r="P168" i="30" s="1"/>
  <c r="Q182" i="30"/>
  <c r="Q168" i="30" s="1"/>
  <c r="R182" i="30"/>
  <c r="S182" i="30"/>
  <c r="T182" i="30"/>
  <c r="U182" i="30"/>
  <c r="U168" i="30" s="1"/>
  <c r="V182" i="30"/>
  <c r="W182" i="30"/>
  <c r="W168" i="30" s="1"/>
  <c r="X182" i="30"/>
  <c r="Y182" i="30"/>
  <c r="Z182" i="30"/>
  <c r="Z184" i="30" s="1"/>
  <c r="Z192" i="30" s="1"/>
  <c r="Z193" i="30" s="1"/>
  <c r="AA182" i="30"/>
  <c r="AB182" i="30"/>
  <c r="AC182" i="30"/>
  <c r="AC168" i="30" s="1"/>
  <c r="AD182" i="30"/>
  <c r="AE182" i="30"/>
  <c r="AE168" i="30" s="1"/>
  <c r="AF182" i="30"/>
  <c r="AF168" i="30" s="1"/>
  <c r="AG182" i="30"/>
  <c r="AH182" i="30"/>
  <c r="AH184" i="30" s="1"/>
  <c r="AI182" i="30"/>
  <c r="AJ182" i="30"/>
  <c r="AK182" i="30"/>
  <c r="AK168" i="30" s="1"/>
  <c r="AL182" i="30"/>
  <c r="AM182" i="30"/>
  <c r="AM168" i="30" s="1"/>
  <c r="AN182" i="30"/>
  <c r="AO182" i="30"/>
  <c r="AO168" i="30" s="1"/>
  <c r="AP182" i="30"/>
  <c r="AP168" i="30" s="1"/>
  <c r="AP170" i="30" s="1"/>
  <c r="AQ182" i="30"/>
  <c r="AR182" i="30"/>
  <c r="AS182" i="30"/>
  <c r="AS168" i="30" s="1"/>
  <c r="AT182" i="30"/>
  <c r="AU182" i="30"/>
  <c r="AU168" i="30" s="1"/>
  <c r="AV182" i="30"/>
  <c r="AW182" i="30"/>
  <c r="AX182" i="30"/>
  <c r="AX184" i="30" s="1"/>
  <c r="AY182" i="30"/>
  <c r="AZ182" i="30"/>
  <c r="BA182" i="30"/>
  <c r="BA168" i="30" s="1"/>
  <c r="BB182" i="30"/>
  <c r="BC182" i="30"/>
  <c r="BC168" i="30" s="1"/>
  <c r="BD182" i="30"/>
  <c r="BD168" i="30" s="1"/>
  <c r="BE182" i="30"/>
  <c r="BE168" i="30" s="1"/>
  <c r="BF182" i="30"/>
  <c r="BF184" i="30" s="1"/>
  <c r="BF192" i="30" s="1"/>
  <c r="BF193" i="30" s="1"/>
  <c r="BG182" i="30"/>
  <c r="BH182" i="30"/>
  <c r="BI182" i="30"/>
  <c r="BI168" i="30" s="1"/>
  <c r="BJ182" i="30"/>
  <c r="N183" i="30"/>
  <c r="N184" i="30" s="1"/>
  <c r="O183" i="30"/>
  <c r="O184" i="30" s="1"/>
  <c r="P183" i="30"/>
  <c r="P169" i="30" s="1"/>
  <c r="Q183" i="30"/>
  <c r="Q169" i="30" s="1"/>
  <c r="Q170" i="30" s="1"/>
  <c r="R183" i="30"/>
  <c r="R169" i="30" s="1"/>
  <c r="S183" i="30"/>
  <c r="S184" i="30" s="1"/>
  <c r="S192" i="30" s="1"/>
  <c r="S193" i="30" s="1"/>
  <c r="T183" i="30"/>
  <c r="U183" i="30"/>
  <c r="U169" i="30" s="1"/>
  <c r="V183" i="30"/>
  <c r="V184" i="30" s="1"/>
  <c r="W183" i="30"/>
  <c r="W184" i="30" s="1"/>
  <c r="X183" i="30"/>
  <c r="Y183" i="30"/>
  <c r="Z183" i="30"/>
  <c r="Z169" i="30" s="1"/>
  <c r="AA183" i="30"/>
  <c r="AA169" i="30" s="1"/>
  <c r="AB183" i="30"/>
  <c r="AC183" i="30"/>
  <c r="AC169" i="30" s="1"/>
  <c r="AD183" i="30"/>
  <c r="AD184" i="30" s="1"/>
  <c r="AE183" i="30"/>
  <c r="AE184" i="30" s="1"/>
  <c r="AF183" i="30"/>
  <c r="AF169" i="30" s="1"/>
  <c r="AG183" i="30"/>
  <c r="AG169" i="30" s="1"/>
  <c r="AH183" i="30"/>
  <c r="AH169" i="30" s="1"/>
  <c r="AI183" i="30"/>
  <c r="AI169" i="30" s="1"/>
  <c r="AJ183" i="30"/>
  <c r="AK183" i="30"/>
  <c r="AK169" i="30" s="1"/>
  <c r="AL183" i="30"/>
  <c r="AL184" i="30" s="1"/>
  <c r="AM183" i="30"/>
  <c r="AM184" i="30" s="1"/>
  <c r="AN183" i="30"/>
  <c r="AN169" i="30" s="1"/>
  <c r="AO183" i="30"/>
  <c r="AO169" i="30" s="1"/>
  <c r="AO170" i="30" s="1"/>
  <c r="AP183" i="30"/>
  <c r="AP169" i="30" s="1"/>
  <c r="AQ183" i="30"/>
  <c r="AQ169" i="30" s="1"/>
  <c r="AR183" i="30"/>
  <c r="AS183" i="30"/>
  <c r="AS184" i="30" s="1"/>
  <c r="AT183" i="30"/>
  <c r="AT184" i="30" s="1"/>
  <c r="AU183" i="30"/>
  <c r="AU184" i="30" s="1"/>
  <c r="AV183" i="30"/>
  <c r="AW183" i="30"/>
  <c r="AW169" i="30" s="1"/>
  <c r="AX183" i="30"/>
  <c r="AX169" i="30" s="1"/>
  <c r="AY183" i="30"/>
  <c r="AY169" i="30" s="1"/>
  <c r="AZ183" i="30"/>
  <c r="BA183" i="30"/>
  <c r="BA169" i="30" s="1"/>
  <c r="BB183" i="30"/>
  <c r="BB184" i="30" s="1"/>
  <c r="BC183" i="30"/>
  <c r="BC184" i="30" s="1"/>
  <c r="BD183" i="30"/>
  <c r="BD169" i="30" s="1"/>
  <c r="BE183" i="30"/>
  <c r="BE169" i="30" s="1"/>
  <c r="BE170" i="30" s="1"/>
  <c r="BF183" i="30"/>
  <c r="BF169" i="30" s="1"/>
  <c r="BG183" i="30"/>
  <c r="BG169" i="30" s="1"/>
  <c r="BH183" i="30"/>
  <c r="BI183" i="30"/>
  <c r="BI184" i="30" s="1"/>
  <c r="BJ183" i="30"/>
  <c r="BJ184" i="30" s="1"/>
  <c r="R184" i="30"/>
  <c r="U184" i="30"/>
  <c r="AA184" i="30"/>
  <c r="AA192" i="30" s="1"/>
  <c r="AA193" i="30" s="1"/>
  <c r="AC184" i="30"/>
  <c r="AK184" i="30"/>
  <c r="AQ184" i="30"/>
  <c r="AY184" i="30"/>
  <c r="AY192" i="30" s="1"/>
  <c r="AY193" i="30" s="1"/>
  <c r="BA184" i="30"/>
  <c r="BG184" i="30"/>
  <c r="H188" i="30"/>
  <c r="T191" i="30" s="1"/>
  <c r="N190" i="30"/>
  <c r="N191" i="30" s="1"/>
  <c r="O190" i="30"/>
  <c r="P190" i="30"/>
  <c r="Q190" i="30"/>
  <c r="R190" i="30"/>
  <c r="S190" i="30"/>
  <c r="T190" i="30"/>
  <c r="U190" i="30"/>
  <c r="U191" i="30" s="1"/>
  <c r="V190" i="30"/>
  <c r="V191" i="30" s="1"/>
  <c r="W190" i="30"/>
  <c r="W191" i="30" s="1"/>
  <c r="X190" i="30"/>
  <c r="Y190" i="30"/>
  <c r="Y191" i="30" s="1"/>
  <c r="Z190" i="30"/>
  <c r="AA190" i="30"/>
  <c r="AB190" i="30"/>
  <c r="AC190" i="30"/>
  <c r="AC191" i="30" s="1"/>
  <c r="AD190" i="30"/>
  <c r="AD191" i="30" s="1"/>
  <c r="AE190" i="30"/>
  <c r="AE191" i="30" s="1"/>
  <c r="AF190" i="30"/>
  <c r="AG190" i="30"/>
  <c r="AG191" i="30" s="1"/>
  <c r="AH190" i="30"/>
  <c r="AI190" i="30"/>
  <c r="AJ190" i="30"/>
  <c r="AK190" i="30"/>
  <c r="AK191" i="30" s="1"/>
  <c r="AK192" i="30" s="1"/>
  <c r="AK193" i="30" s="1"/>
  <c r="AL190" i="30"/>
  <c r="AL191" i="30" s="1"/>
  <c r="AM190" i="30"/>
  <c r="AM191" i="30" s="1"/>
  <c r="AN190" i="30"/>
  <c r="AO190" i="30"/>
  <c r="AO191" i="30" s="1"/>
  <c r="AP190" i="30"/>
  <c r="AQ190" i="30"/>
  <c r="AR190" i="30"/>
  <c r="AS190" i="30"/>
  <c r="AS191" i="30" s="1"/>
  <c r="AT190" i="30"/>
  <c r="AT191" i="30" s="1"/>
  <c r="AU190" i="30"/>
  <c r="AU191" i="30" s="1"/>
  <c r="AV190" i="30"/>
  <c r="AW190" i="30"/>
  <c r="AW191" i="30" s="1"/>
  <c r="AX190" i="30"/>
  <c r="AY190" i="30"/>
  <c r="AZ190" i="30"/>
  <c r="BA190" i="30"/>
  <c r="BA191" i="30" s="1"/>
  <c r="BB190" i="30"/>
  <c r="BB191" i="30" s="1"/>
  <c r="BC190" i="30"/>
  <c r="BC191" i="30" s="1"/>
  <c r="BD190" i="30"/>
  <c r="BE190" i="30"/>
  <c r="BE191" i="30" s="1"/>
  <c r="BF190" i="30"/>
  <c r="BG190" i="30"/>
  <c r="BH190" i="30"/>
  <c r="BI190" i="30"/>
  <c r="BI191" i="30" s="1"/>
  <c r="BJ190" i="30"/>
  <c r="BJ191" i="30" s="1"/>
  <c r="BK190" i="30"/>
  <c r="BK191" i="30" s="1"/>
  <c r="O191" i="30"/>
  <c r="Q191" i="30"/>
  <c r="S191" i="30"/>
  <c r="Z191" i="30"/>
  <c r="AA191" i="30"/>
  <c r="AI191" i="30"/>
  <c r="AP191" i="30"/>
  <c r="AQ191" i="30"/>
  <c r="AY191" i="30"/>
  <c r="BF191" i="30"/>
  <c r="BG191" i="30"/>
  <c r="B58" i="32"/>
  <c r="B44" i="32" s="1"/>
  <c r="B59" i="32"/>
  <c r="B45" i="32" s="1"/>
  <c r="B57" i="32"/>
  <c r="B43" i="32" s="1"/>
  <c r="G32" i="32"/>
  <c r="H32" i="32"/>
  <c r="I32" i="32"/>
  <c r="J32" i="32"/>
  <c r="K32" i="32"/>
  <c r="L32" i="32"/>
  <c r="M32" i="32"/>
  <c r="N32" i="32"/>
  <c r="O32" i="32"/>
  <c r="P32" i="32"/>
  <c r="Q32" i="32"/>
  <c r="R32" i="32"/>
  <c r="S32" i="32"/>
  <c r="T32" i="32"/>
  <c r="U32" i="32"/>
  <c r="V32" i="32"/>
  <c r="W32" i="32"/>
  <c r="X32" i="32"/>
  <c r="Y32" i="32"/>
  <c r="Z32" i="32"/>
  <c r="AA32" i="32"/>
  <c r="AB32" i="32"/>
  <c r="AC32" i="32"/>
  <c r="AD32" i="32"/>
  <c r="AE32" i="32"/>
  <c r="AF32" i="32"/>
  <c r="AG32" i="32"/>
  <c r="AH32" i="32"/>
  <c r="AI32" i="32"/>
  <c r="AJ32" i="32"/>
  <c r="AK32" i="32"/>
  <c r="AL32" i="32"/>
  <c r="AM32" i="32"/>
  <c r="AN32" i="32"/>
  <c r="AO32" i="32"/>
  <c r="AP32" i="32"/>
  <c r="AQ32" i="32"/>
  <c r="AR32" i="32"/>
  <c r="AS32" i="32"/>
  <c r="AT32" i="32"/>
  <c r="AU32" i="32"/>
  <c r="AV32" i="32"/>
  <c r="AW32" i="32"/>
  <c r="AX32" i="32"/>
  <c r="AY32" i="32"/>
  <c r="AZ32" i="32"/>
  <c r="BA32" i="32"/>
  <c r="BB32" i="32"/>
  <c r="F32" i="32"/>
  <c r="P36" i="32"/>
  <c r="Q36" i="32"/>
  <c r="R36" i="32"/>
  <c r="S36" i="32"/>
  <c r="T36" i="32"/>
  <c r="U36" i="32"/>
  <c r="V36" i="32"/>
  <c r="W36" i="32"/>
  <c r="X36" i="32"/>
  <c r="G30" i="32"/>
  <c r="H30" i="32"/>
  <c r="I30" i="32"/>
  <c r="J30" i="32"/>
  <c r="K30" i="32"/>
  <c r="L30" i="32"/>
  <c r="M30" i="32"/>
  <c r="N30" i="32"/>
  <c r="O30" i="32"/>
  <c r="P30" i="32"/>
  <c r="Q30" i="32"/>
  <c r="R30" i="32"/>
  <c r="S30" i="32"/>
  <c r="T30" i="32"/>
  <c r="U30" i="32"/>
  <c r="V30" i="32"/>
  <c r="W30" i="32"/>
  <c r="X30" i="32"/>
  <c r="Y30" i="32"/>
  <c r="Z30" i="32"/>
  <c r="AA30" i="32"/>
  <c r="AB30" i="32"/>
  <c r="AC30" i="32"/>
  <c r="AD30" i="32"/>
  <c r="AE30" i="32"/>
  <c r="AF30" i="32"/>
  <c r="AG30" i="32"/>
  <c r="AH30" i="32"/>
  <c r="AI30" i="32"/>
  <c r="AJ30" i="32"/>
  <c r="AK30" i="32"/>
  <c r="AL30" i="32"/>
  <c r="AM30" i="32"/>
  <c r="AN30" i="32"/>
  <c r="AO30" i="32"/>
  <c r="AP30" i="32"/>
  <c r="AQ30" i="32"/>
  <c r="AR30" i="32"/>
  <c r="AS30" i="32"/>
  <c r="AT30" i="32"/>
  <c r="AU30" i="32"/>
  <c r="AV30" i="32"/>
  <c r="AW30" i="32"/>
  <c r="AX30" i="32"/>
  <c r="AY30" i="32"/>
  <c r="AZ30" i="32"/>
  <c r="BA30" i="32"/>
  <c r="BB30" i="32"/>
  <c r="G31" i="32"/>
  <c r="H31" i="32"/>
  <c r="I31" i="32"/>
  <c r="J31" i="32"/>
  <c r="K31" i="32"/>
  <c r="L31" i="32"/>
  <c r="M31" i="32"/>
  <c r="N31" i="32"/>
  <c r="O31" i="32"/>
  <c r="P31" i="32"/>
  <c r="Q31" i="32"/>
  <c r="R31" i="32"/>
  <c r="S31" i="32"/>
  <c r="T31" i="32"/>
  <c r="U31" i="32"/>
  <c r="V31" i="32"/>
  <c r="W31" i="32"/>
  <c r="X31" i="32"/>
  <c r="Y31" i="32"/>
  <c r="Z31" i="32"/>
  <c r="AA31" i="32"/>
  <c r="AB31" i="32"/>
  <c r="AC31" i="32"/>
  <c r="AD31" i="32"/>
  <c r="AE31" i="32"/>
  <c r="AF31" i="32"/>
  <c r="AG31" i="32"/>
  <c r="AH31" i="32"/>
  <c r="AI31" i="32"/>
  <c r="AJ31" i="32"/>
  <c r="AK31" i="32"/>
  <c r="AL31" i="32"/>
  <c r="AM31" i="32"/>
  <c r="AN31" i="32"/>
  <c r="AO31" i="32"/>
  <c r="AP31" i="32"/>
  <c r="AQ31" i="32"/>
  <c r="AR31" i="32"/>
  <c r="AS31" i="32"/>
  <c r="AT31" i="32"/>
  <c r="AU31" i="32"/>
  <c r="AV31" i="32"/>
  <c r="AW31" i="32"/>
  <c r="AX31" i="32"/>
  <c r="AY31" i="32"/>
  <c r="AZ31" i="32"/>
  <c r="BA31" i="32"/>
  <c r="BB31" i="32"/>
  <c r="G33" i="32"/>
  <c r="H33" i="32"/>
  <c r="I33" i="32"/>
  <c r="J33" i="32"/>
  <c r="K33" i="32"/>
  <c r="L33" i="32"/>
  <c r="M33" i="32"/>
  <c r="N33" i="32"/>
  <c r="O33" i="32"/>
  <c r="P33" i="32"/>
  <c r="Q33" i="32"/>
  <c r="R33" i="32"/>
  <c r="S33" i="32"/>
  <c r="T33" i="32"/>
  <c r="U33" i="32"/>
  <c r="V33" i="32"/>
  <c r="W33" i="32"/>
  <c r="X33" i="32"/>
  <c r="Y33" i="32"/>
  <c r="Z33" i="32"/>
  <c r="AA33" i="32"/>
  <c r="AB33" i="32"/>
  <c r="AC33" i="32"/>
  <c r="AD33" i="32"/>
  <c r="AE33" i="32"/>
  <c r="AF33" i="32"/>
  <c r="AG33" i="32"/>
  <c r="AH33" i="32"/>
  <c r="AI33" i="32"/>
  <c r="AJ33" i="32"/>
  <c r="AK33" i="32"/>
  <c r="AL33" i="32"/>
  <c r="AM33" i="32"/>
  <c r="AN33" i="32"/>
  <c r="AO33" i="32"/>
  <c r="AP33" i="32"/>
  <c r="AQ33" i="32"/>
  <c r="AR33" i="32"/>
  <c r="AS33" i="32"/>
  <c r="AT33" i="32"/>
  <c r="AU33" i="32"/>
  <c r="AV33" i="32"/>
  <c r="AW33" i="32"/>
  <c r="AX33" i="32"/>
  <c r="AY33" i="32"/>
  <c r="AZ33" i="32"/>
  <c r="BA33" i="32"/>
  <c r="BB33" i="32"/>
  <c r="G34" i="32"/>
  <c r="H34" i="32"/>
  <c r="I34" i="32"/>
  <c r="J34" i="32"/>
  <c r="K34" i="32"/>
  <c r="L34" i="32"/>
  <c r="M34" i="32"/>
  <c r="N34" i="32"/>
  <c r="O34" i="32"/>
  <c r="P34" i="32"/>
  <c r="Q34" i="32"/>
  <c r="R34" i="32"/>
  <c r="S34" i="32"/>
  <c r="T34" i="32"/>
  <c r="U34" i="32"/>
  <c r="V34" i="32"/>
  <c r="W34" i="32"/>
  <c r="X34" i="32"/>
  <c r="Y34" i="32"/>
  <c r="Z34" i="32"/>
  <c r="AA34" i="32"/>
  <c r="AB34" i="32"/>
  <c r="AC34" i="32"/>
  <c r="AD34" i="32"/>
  <c r="AE34" i="32"/>
  <c r="AF34" i="32"/>
  <c r="AG34" i="32"/>
  <c r="AH34" i="32"/>
  <c r="AI34" i="32"/>
  <c r="AJ34" i="32"/>
  <c r="AK34" i="32"/>
  <c r="AL34" i="32"/>
  <c r="AM34" i="32"/>
  <c r="AN34" i="32"/>
  <c r="AO34" i="32"/>
  <c r="AP34" i="32"/>
  <c r="AQ34" i="32"/>
  <c r="AR34" i="32"/>
  <c r="AS34" i="32"/>
  <c r="AT34" i="32"/>
  <c r="AU34" i="32"/>
  <c r="AV34" i="32"/>
  <c r="AW34" i="32"/>
  <c r="AX34" i="32"/>
  <c r="AY34" i="32"/>
  <c r="AZ34" i="32"/>
  <c r="BA34" i="32"/>
  <c r="BB34" i="32"/>
  <c r="G35" i="32"/>
  <c r="H35" i="32"/>
  <c r="I35" i="32"/>
  <c r="J35" i="32"/>
  <c r="K35" i="32"/>
  <c r="L35" i="32"/>
  <c r="M35" i="32"/>
  <c r="N35" i="32"/>
  <c r="O35" i="32"/>
  <c r="P35" i="32"/>
  <c r="Q35" i="32"/>
  <c r="R35" i="32"/>
  <c r="S35" i="32"/>
  <c r="T35" i="32"/>
  <c r="U35" i="32"/>
  <c r="V35" i="32"/>
  <c r="W35" i="32"/>
  <c r="X35" i="32"/>
  <c r="Y35" i="32"/>
  <c r="Z35" i="32"/>
  <c r="AA35" i="32"/>
  <c r="AB35" i="32"/>
  <c r="AC35" i="32"/>
  <c r="AD35" i="32"/>
  <c r="AE35" i="32"/>
  <c r="AF35" i="32"/>
  <c r="AG35" i="32"/>
  <c r="AH35" i="32"/>
  <c r="AI35" i="32"/>
  <c r="AJ35" i="32"/>
  <c r="AK35" i="32"/>
  <c r="AL35" i="32"/>
  <c r="AM35" i="32"/>
  <c r="AN35" i="32"/>
  <c r="AO35" i="32"/>
  <c r="AP35" i="32"/>
  <c r="AQ35" i="32"/>
  <c r="AR35" i="32"/>
  <c r="AS35" i="32"/>
  <c r="AT35" i="32"/>
  <c r="AU35" i="32"/>
  <c r="AV35" i="32"/>
  <c r="AW35" i="32"/>
  <c r="AX35" i="32"/>
  <c r="AY35" i="32"/>
  <c r="AZ35" i="32"/>
  <c r="BA35" i="32"/>
  <c r="BB35" i="32"/>
  <c r="F35" i="32"/>
  <c r="F34" i="32"/>
  <c r="F33" i="32"/>
  <c r="F31" i="32"/>
  <c r="F30" i="32"/>
  <c r="AF170" i="30" l="1"/>
  <c r="AF178" i="30" s="1"/>
  <c r="AF179" i="30" s="1"/>
  <c r="AF73" i="32" s="1"/>
  <c r="P170" i="30"/>
  <c r="P178" i="30" s="1"/>
  <c r="P179" i="30" s="1"/>
  <c r="P73" i="32" s="1"/>
  <c r="BH170" i="30"/>
  <c r="BH178" i="30" s="1"/>
  <c r="BH179" i="30" s="1"/>
  <c r="BH73" i="32" s="1"/>
  <c r="AR170" i="30"/>
  <c r="AR178" i="30" s="1"/>
  <c r="AR179" i="30" s="1"/>
  <c r="AR73" i="32" s="1"/>
  <c r="AP184" i="30"/>
  <c r="AP192" i="30" s="1"/>
  <c r="AP193" i="30" s="1"/>
  <c r="Q184" i="30"/>
  <c r="AW184" i="30"/>
  <c r="AW192" i="30" s="1"/>
  <c r="AW193" i="30" s="1"/>
  <c r="AW168" i="30"/>
  <c r="AW170" i="30" s="1"/>
  <c r="AG184" i="30"/>
  <c r="AG192" i="30" s="1"/>
  <c r="AG193" i="30" s="1"/>
  <c r="AG168" i="30"/>
  <c r="AG170" i="30" s="1"/>
  <c r="AG178" i="30" s="1"/>
  <c r="AG179" i="30" s="1"/>
  <c r="AG73" i="32" s="1"/>
  <c r="Y184" i="30"/>
  <c r="Y192" i="30" s="1"/>
  <c r="Y193" i="30" s="1"/>
  <c r="Y168" i="30"/>
  <c r="Y170" i="30" s="1"/>
  <c r="Y178" i="30" s="1"/>
  <c r="Y179" i="30" s="1"/>
  <c r="Y73" i="32" s="1"/>
  <c r="AQ170" i="30"/>
  <c r="AA170" i="30"/>
  <c r="AO184" i="30"/>
  <c r="P184" i="30"/>
  <c r="BC192" i="30"/>
  <c r="BC193" i="30" s="1"/>
  <c r="AU192" i="30"/>
  <c r="AU193" i="30" s="1"/>
  <c r="AM192" i="30"/>
  <c r="AM193" i="30" s="1"/>
  <c r="AE192" i="30"/>
  <c r="AE193" i="30" s="1"/>
  <c r="W192" i="30"/>
  <c r="W193" i="30" s="1"/>
  <c r="O192" i="30"/>
  <c r="O193" i="30" s="1"/>
  <c r="BD170" i="30"/>
  <c r="AV184" i="30"/>
  <c r="AV168" i="30"/>
  <c r="AV170" i="30" s="1"/>
  <c r="AV178" i="30" s="1"/>
  <c r="AV179" i="30" s="1"/>
  <c r="AV73" i="32" s="1"/>
  <c r="AN168" i="30"/>
  <c r="AN170" i="30" s="1"/>
  <c r="AN178" i="30" s="1"/>
  <c r="AN179" i="30" s="1"/>
  <c r="AN73" i="32" s="1"/>
  <c r="AN184" i="30"/>
  <c r="X184" i="30"/>
  <c r="X192" i="30" s="1"/>
  <c r="X193" i="30" s="1"/>
  <c r="X168" i="30"/>
  <c r="X170" i="30" s="1"/>
  <c r="AM169" i="30"/>
  <c r="BF168" i="30"/>
  <c r="BF170" i="30" s="1"/>
  <c r="Z168" i="30"/>
  <c r="Z170" i="30" s="1"/>
  <c r="BC170" i="30"/>
  <c r="AU170" i="30"/>
  <c r="AU178" i="30" s="1"/>
  <c r="AU179" i="30" s="1"/>
  <c r="AU73" i="32" s="1"/>
  <c r="AM170" i="30"/>
  <c r="AM178" i="30" s="1"/>
  <c r="AM179" i="30" s="1"/>
  <c r="AM73" i="32" s="1"/>
  <c r="W170" i="30"/>
  <c r="W178" i="30" s="1"/>
  <c r="W179" i="30" s="1"/>
  <c r="W73" i="32" s="1"/>
  <c r="O169" i="30"/>
  <c r="O170" i="30" s="1"/>
  <c r="O178" i="30" s="1"/>
  <c r="O179" i="30" s="1"/>
  <c r="O73" i="32" s="1"/>
  <c r="Q192" i="30"/>
  <c r="Q193" i="30" s="1"/>
  <c r="BE192" i="30"/>
  <c r="BE193" i="30" s="1"/>
  <c r="AO192" i="30"/>
  <c r="AO193" i="30" s="1"/>
  <c r="AQ192" i="30"/>
  <c r="AQ193" i="30" s="1"/>
  <c r="BE184" i="30"/>
  <c r="AF184" i="30"/>
  <c r="AZ170" i="30"/>
  <c r="AZ178" i="30" s="1"/>
  <c r="AZ179" i="30" s="1"/>
  <c r="AZ73" i="32" s="1"/>
  <c r="AJ170" i="30"/>
  <c r="AJ178" i="30" s="1"/>
  <c r="AJ179" i="30" s="1"/>
  <c r="AJ73" i="32" s="1"/>
  <c r="BD184" i="30"/>
  <c r="BI170" i="30"/>
  <c r="BA170" i="30"/>
  <c r="AK170" i="30"/>
  <c r="AK178" i="30" s="1"/>
  <c r="AK179" i="30" s="1"/>
  <c r="AK73" i="32" s="1"/>
  <c r="AC170" i="30"/>
  <c r="AC178" i="30" s="1"/>
  <c r="AC179" i="30" s="1"/>
  <c r="AC73" i="32" s="1"/>
  <c r="U170" i="30"/>
  <c r="U178" i="30" s="1"/>
  <c r="U179" i="30" s="1"/>
  <c r="U73" i="32" s="1"/>
  <c r="AE169" i="30"/>
  <c r="AE170" i="30" s="1"/>
  <c r="AE178" i="30" s="1"/>
  <c r="AE179" i="30" s="1"/>
  <c r="AE73" i="32" s="1"/>
  <c r="AY170" i="30"/>
  <c r="AI170" i="30"/>
  <c r="BJ169" i="30"/>
  <c r="BJ170" i="30" s="1"/>
  <c r="BB169" i="30"/>
  <c r="BB170" i="30" s="1"/>
  <c r="BB178" i="30" s="1"/>
  <c r="BB179" i="30" s="1"/>
  <c r="BB73" i="32" s="1"/>
  <c r="AT169" i="30"/>
  <c r="AT170" i="30" s="1"/>
  <c r="AT178" i="30" s="1"/>
  <c r="AT179" i="30" s="1"/>
  <c r="AT73" i="32" s="1"/>
  <c r="AL169" i="30"/>
  <c r="AL170" i="30" s="1"/>
  <c r="AL178" i="30" s="1"/>
  <c r="AL179" i="30" s="1"/>
  <c r="AL73" i="32" s="1"/>
  <c r="AD169" i="30"/>
  <c r="AD170" i="30" s="1"/>
  <c r="AD178" i="30" s="1"/>
  <c r="AD179" i="30" s="1"/>
  <c r="AD73" i="32" s="1"/>
  <c r="V169" i="30"/>
  <c r="V170" i="30" s="1"/>
  <c r="N169" i="30"/>
  <c r="N170" i="30" s="1"/>
  <c r="N178" i="30" s="1"/>
  <c r="N179" i="30" s="1"/>
  <c r="N73" i="32" s="1"/>
  <c r="BI192" i="30"/>
  <c r="BI193" i="30" s="1"/>
  <c r="BA192" i="30"/>
  <c r="BA193" i="30" s="1"/>
  <c r="AS192" i="30"/>
  <c r="AS193" i="30" s="1"/>
  <c r="AC192" i="30"/>
  <c r="AC193" i="30" s="1"/>
  <c r="U192" i="30"/>
  <c r="U193" i="30" s="1"/>
  <c r="BH177" i="30"/>
  <c r="BI169" i="30"/>
  <c r="AS169" i="30"/>
  <c r="AS170" i="30" s="1"/>
  <c r="AS178" i="30" s="1"/>
  <c r="AS179" i="30" s="1"/>
  <c r="AS73" i="32" s="1"/>
  <c r="AI184" i="30"/>
  <c r="AI192" i="30" s="1"/>
  <c r="AI193" i="30" s="1"/>
  <c r="BH184" i="30"/>
  <c r="AZ184" i="30"/>
  <c r="AR184" i="30"/>
  <c r="AJ184" i="30"/>
  <c r="AB184" i="30"/>
  <c r="T184" i="30"/>
  <c r="T192" i="30" s="1"/>
  <c r="T193" i="30" s="1"/>
  <c r="AW177" i="30"/>
  <c r="BH169" i="30"/>
  <c r="AZ169" i="30"/>
  <c r="AR169" i="30"/>
  <c r="AJ169" i="30"/>
  <c r="AB169" i="30"/>
  <c r="AB170" i="30" s="1"/>
  <c r="AB178" i="30" s="1"/>
  <c r="AB179" i="30" s="1"/>
  <c r="AB73" i="32" s="1"/>
  <c r="T169" i="30"/>
  <c r="T170" i="30" s="1"/>
  <c r="T178" i="30" s="1"/>
  <c r="T179" i="30" s="1"/>
  <c r="T73" i="32" s="1"/>
  <c r="BG177" i="30"/>
  <c r="AY177" i="30"/>
  <c r="AQ177" i="30"/>
  <c r="AI177" i="30"/>
  <c r="AA177" i="30"/>
  <c r="BG192" i="30"/>
  <c r="BG193" i="30" s="1"/>
  <c r="S169" i="30"/>
  <c r="S170" i="30" s="1"/>
  <c r="S178" i="30" s="1"/>
  <c r="S179" i="30" s="1"/>
  <c r="S73" i="32" s="1"/>
  <c r="AX191" i="30"/>
  <c r="AX192" i="30" s="1"/>
  <c r="AX193" i="30" s="1"/>
  <c r="AH191" i="30"/>
  <c r="AH192" i="30" s="1"/>
  <c r="AH193" i="30" s="1"/>
  <c r="R191" i="30"/>
  <c r="R192" i="30" s="1"/>
  <c r="R193" i="30" s="1"/>
  <c r="AO177" i="30"/>
  <c r="AA178" i="30"/>
  <c r="AA179" i="30" s="1"/>
  <c r="AA73" i="32" s="1"/>
  <c r="AI178" i="30"/>
  <c r="AI179" i="30" s="1"/>
  <c r="AI73" i="32" s="1"/>
  <c r="AQ178" i="30"/>
  <c r="AQ179" i="30" s="1"/>
  <c r="AQ73" i="32" s="1"/>
  <c r="AY178" i="30"/>
  <c r="AY179" i="30" s="1"/>
  <c r="AY73" i="32" s="1"/>
  <c r="BC178" i="30"/>
  <c r="BC179" i="30" s="1"/>
  <c r="BC73" i="32" s="1"/>
  <c r="BD178" i="30"/>
  <c r="BD179" i="30" s="1"/>
  <c r="BD73" i="32" s="1"/>
  <c r="BI178" i="30"/>
  <c r="BI179" i="30" s="1"/>
  <c r="BI73" i="32" s="1"/>
  <c r="BA178" i="30"/>
  <c r="BA179" i="30" s="1"/>
  <c r="BA73" i="32" s="1"/>
  <c r="X178" i="30"/>
  <c r="X179" i="30" s="1"/>
  <c r="X73" i="32" s="1"/>
  <c r="BF178" i="30"/>
  <c r="BF179" i="30" s="1"/>
  <c r="BF73" i="32" s="1"/>
  <c r="BG178" i="30"/>
  <c r="BG179" i="30" s="1"/>
  <c r="BG73" i="32" s="1"/>
  <c r="R178" i="30"/>
  <c r="R179" i="30" s="1"/>
  <c r="R73" i="32" s="1"/>
  <c r="Z178" i="30"/>
  <c r="Z179" i="30" s="1"/>
  <c r="Z73" i="32" s="1"/>
  <c r="AH178" i="30"/>
  <c r="AH179" i="30" s="1"/>
  <c r="AH73" i="32" s="1"/>
  <c r="AP178" i="30"/>
  <c r="AP179" i="30" s="1"/>
  <c r="AP73" i="32" s="1"/>
  <c r="AX178" i="30"/>
  <c r="AX179" i="30" s="1"/>
  <c r="AX73" i="32" s="1"/>
  <c r="Q178" i="30"/>
  <c r="Q179" i="30" s="1"/>
  <c r="Q73" i="32" s="1"/>
  <c r="AO178" i="30"/>
  <c r="AO179" i="30" s="1"/>
  <c r="AO73" i="32" s="1"/>
  <c r="AW178" i="30"/>
  <c r="AW179" i="30" s="1"/>
  <c r="AW73" i="32" s="1"/>
  <c r="BE178" i="30"/>
  <c r="BE179" i="30" s="1"/>
  <c r="BE73" i="32" s="1"/>
  <c r="BK73" i="32" s="1"/>
  <c r="BL73" i="32" s="1"/>
  <c r="V178" i="30"/>
  <c r="V179" i="30" s="1"/>
  <c r="V73" i="32" s="1"/>
  <c r="BJ178" i="30"/>
  <c r="BJ179" i="30" s="1"/>
  <c r="BJ73" i="32" s="1"/>
  <c r="AB192" i="30"/>
  <c r="AB193" i="30" s="1"/>
  <c r="AV192" i="30"/>
  <c r="AV193" i="30" s="1"/>
  <c r="AF192" i="30"/>
  <c r="AF193" i="30" s="1"/>
  <c r="BJ192" i="30"/>
  <c r="BJ193" i="30" s="1"/>
  <c r="BB192" i="30"/>
  <c r="BB193" i="30" s="1"/>
  <c r="AT192" i="30"/>
  <c r="AT193" i="30" s="1"/>
  <c r="AL192" i="30"/>
  <c r="AL193" i="30" s="1"/>
  <c r="AD192" i="30"/>
  <c r="AD193" i="30" s="1"/>
  <c r="V192" i="30"/>
  <c r="V193" i="30" s="1"/>
  <c r="N192" i="30"/>
  <c r="N193" i="30" s="1"/>
  <c r="BD191" i="30"/>
  <c r="AV191" i="30"/>
  <c r="AN191" i="30"/>
  <c r="AF191" i="30"/>
  <c r="X191" i="30"/>
  <c r="P191" i="30"/>
  <c r="P192" i="30" s="1"/>
  <c r="P193" i="30" s="1"/>
  <c r="BH191" i="30"/>
  <c r="BH192" i="30" s="1"/>
  <c r="BH193" i="30" s="1"/>
  <c r="AZ191" i="30"/>
  <c r="AZ192" i="30" s="1"/>
  <c r="AZ193" i="30" s="1"/>
  <c r="AR191" i="30"/>
  <c r="AJ191" i="30"/>
  <c r="AB191" i="30"/>
  <c r="AN192" i="30" l="1"/>
  <c r="AN193" i="30" s="1"/>
  <c r="AJ192" i="30"/>
  <c r="AJ193" i="30" s="1"/>
  <c r="AR192" i="30"/>
  <c r="AR193" i="30" s="1"/>
  <c r="BD192" i="30"/>
  <c r="BD193" i="30" s="1"/>
  <c r="O36" i="32"/>
  <c r="N36" i="32"/>
  <c r="M36" i="32"/>
  <c r="L36" i="32"/>
  <c r="K36" i="32"/>
  <c r="J36" i="32"/>
  <c r="I36" i="32"/>
  <c r="H36" i="32"/>
  <c r="G36" i="32"/>
  <c r="F36" i="32"/>
  <c r="E36" i="32"/>
  <c r="I72" i="32"/>
  <c r="I61" i="32" s="1"/>
  <c r="I47" i="32" s="1"/>
  <c r="J61" i="32"/>
  <c r="J47" i="32" s="1"/>
  <c r="K61" i="32"/>
  <c r="K47" i="32" s="1"/>
  <c r="L61" i="32"/>
  <c r="L47" i="32" s="1"/>
  <c r="M61" i="32"/>
  <c r="M47" i="32" s="1"/>
  <c r="N61" i="32"/>
  <c r="N47" i="32" s="1"/>
  <c r="O61" i="32"/>
  <c r="O47" i="32" s="1"/>
  <c r="P61" i="32"/>
  <c r="P47" i="32" s="1"/>
  <c r="Q61" i="32"/>
  <c r="Q47" i="32" s="1"/>
  <c r="R61" i="32"/>
  <c r="R47" i="32" s="1"/>
  <c r="S61" i="32"/>
  <c r="S47" i="32" s="1"/>
  <c r="T61" i="32"/>
  <c r="T47" i="32" s="1"/>
  <c r="U61" i="32"/>
  <c r="U47" i="32" s="1"/>
  <c r="V61" i="32"/>
  <c r="V47" i="32" s="1"/>
  <c r="W61" i="32"/>
  <c r="W47" i="32" s="1"/>
  <c r="X61" i="32"/>
  <c r="X47" i="32" s="1"/>
  <c r="Y61" i="32"/>
  <c r="Y47" i="32" s="1"/>
  <c r="Z61" i="32"/>
  <c r="Z47" i="32" s="1"/>
  <c r="AA61" i="32"/>
  <c r="AA47" i="32" s="1"/>
  <c r="AB61" i="32"/>
  <c r="AB47" i="32" s="1"/>
  <c r="AC61" i="32"/>
  <c r="AC47" i="32" s="1"/>
  <c r="AD61" i="32"/>
  <c r="AD47" i="32" s="1"/>
  <c r="AE61" i="32"/>
  <c r="AE47" i="32" s="1"/>
  <c r="AF61" i="32"/>
  <c r="AF47" i="32" s="1"/>
  <c r="AG61" i="32"/>
  <c r="AG47" i="32" s="1"/>
  <c r="AH61" i="32"/>
  <c r="AH47" i="32" s="1"/>
  <c r="AI61" i="32"/>
  <c r="AI47" i="32" s="1"/>
  <c r="AJ61" i="32"/>
  <c r="AJ47" i="32" s="1"/>
  <c r="AK61" i="32"/>
  <c r="AK47" i="32" s="1"/>
  <c r="AL61" i="32"/>
  <c r="AL47" i="32" s="1"/>
  <c r="AM61" i="32"/>
  <c r="AM47" i="32" s="1"/>
  <c r="AN61" i="32"/>
  <c r="AN47" i="32" s="1"/>
  <c r="AO61" i="32"/>
  <c r="AO47" i="32" s="1"/>
  <c r="AP61" i="32"/>
  <c r="AP47" i="32" s="1"/>
  <c r="AQ61" i="32"/>
  <c r="AQ47" i="32" s="1"/>
  <c r="AR61" i="32"/>
  <c r="AR47" i="32" s="1"/>
  <c r="AS61" i="32"/>
  <c r="AS47" i="32" s="1"/>
  <c r="AT61" i="32"/>
  <c r="AT47" i="32" s="1"/>
  <c r="AU61" i="32"/>
  <c r="AU47" i="32" s="1"/>
  <c r="AV61" i="32"/>
  <c r="AV47" i="32" s="1"/>
  <c r="AW61" i="32"/>
  <c r="AW47" i="32" s="1"/>
  <c r="AX61" i="32"/>
  <c r="AX47" i="32" s="1"/>
  <c r="AY61" i="32"/>
  <c r="AY47" i="32" s="1"/>
  <c r="AZ61" i="32"/>
  <c r="AZ47" i="32" s="1"/>
  <c r="BA61" i="32"/>
  <c r="BA47" i="32" s="1"/>
  <c r="BB61" i="32"/>
  <c r="BB47" i="32" s="1"/>
  <c r="BC61" i="32"/>
  <c r="BC47" i="32" s="1"/>
  <c r="BD61" i="32"/>
  <c r="BD47" i="32" s="1"/>
  <c r="BE61" i="32"/>
  <c r="BE47" i="32" s="1"/>
  <c r="BF61" i="32"/>
  <c r="BF47" i="32" s="1"/>
  <c r="BG61" i="32"/>
  <c r="BG47" i="32" s="1"/>
  <c r="BH61" i="32"/>
  <c r="BH47" i="32" s="1"/>
  <c r="BI61" i="32"/>
  <c r="BI47" i="32" s="1"/>
  <c r="BJ61" i="32"/>
  <c r="BJ47" i="32" s="1"/>
  <c r="D59" i="32"/>
  <c r="D45" i="32" s="1"/>
  <c r="D57" i="32"/>
  <c r="D43" i="32" s="1"/>
  <c r="BK72" i="32"/>
  <c r="BK61" i="32" s="1"/>
  <c r="BK47" i="32" s="1"/>
  <c r="E70" i="32"/>
  <c r="F70" i="32" s="1"/>
  <c r="G70" i="32" s="1"/>
  <c r="H70" i="32" s="1"/>
  <c r="I70" i="32" s="1"/>
  <c r="J70" i="32" s="1"/>
  <c r="K70" i="32" s="1"/>
  <c r="L70" i="32" s="1"/>
  <c r="M70" i="32" s="1"/>
  <c r="N70" i="32" s="1"/>
  <c r="O70" i="32" s="1"/>
  <c r="P70" i="32" s="1"/>
  <c r="Q70" i="32" s="1"/>
  <c r="R70" i="32" s="1"/>
  <c r="S70" i="32" s="1"/>
  <c r="T70" i="32" s="1"/>
  <c r="U70" i="32" s="1"/>
  <c r="V70" i="32" s="1"/>
  <c r="W70" i="32" s="1"/>
  <c r="X70" i="32" s="1"/>
  <c r="Y70" i="32" s="1"/>
  <c r="Z70" i="32" s="1"/>
  <c r="AA70" i="32" s="1"/>
  <c r="AB70" i="32" s="1"/>
  <c r="AC70" i="32" s="1"/>
  <c r="AD70" i="32" s="1"/>
  <c r="AE70" i="32" s="1"/>
  <c r="AF70" i="32" s="1"/>
  <c r="AG70" i="32" s="1"/>
  <c r="AH70" i="32" s="1"/>
  <c r="AI70" i="32" s="1"/>
  <c r="AJ70" i="32" s="1"/>
  <c r="AK70" i="32" s="1"/>
  <c r="AL70" i="32" s="1"/>
  <c r="AM70" i="32" s="1"/>
  <c r="AN70" i="32" s="1"/>
  <c r="AO70" i="32" s="1"/>
  <c r="AP70" i="32" s="1"/>
  <c r="AQ70" i="32" s="1"/>
  <c r="AR70" i="32" s="1"/>
  <c r="AS70" i="32" s="1"/>
  <c r="AT70" i="32" s="1"/>
  <c r="AU70" i="32" s="1"/>
  <c r="AV70" i="32" s="1"/>
  <c r="AW70" i="32" s="1"/>
  <c r="AX70" i="32" s="1"/>
  <c r="AY70" i="32" s="1"/>
  <c r="AZ70" i="32" s="1"/>
  <c r="BA70" i="32" s="1"/>
  <c r="BB70" i="32" s="1"/>
  <c r="BC70" i="32" s="1"/>
  <c r="BD70" i="32" s="1"/>
  <c r="BE70" i="32" s="1"/>
  <c r="BF70" i="32" s="1"/>
  <c r="BG70" i="32" s="1"/>
  <c r="BH70" i="32" s="1"/>
  <c r="BI70" i="32" s="1"/>
  <c r="BJ70" i="32" s="1"/>
  <c r="BK70" i="32" s="1"/>
  <c r="BL70" i="32" s="1"/>
  <c r="BL59" i="32" s="1"/>
  <c r="BL45" i="32" s="1"/>
  <c r="E68" i="32"/>
  <c r="F68" i="32" s="1"/>
  <c r="G68" i="32" s="1"/>
  <c r="H68" i="32" s="1"/>
  <c r="I68" i="32" s="1"/>
  <c r="J68" i="32" s="1"/>
  <c r="K68" i="32" s="1"/>
  <c r="L68" i="32" s="1"/>
  <c r="M68" i="32" s="1"/>
  <c r="N68" i="32" s="1"/>
  <c r="O68" i="32" s="1"/>
  <c r="P68" i="32" s="1"/>
  <c r="Q68" i="32" s="1"/>
  <c r="R68" i="32" s="1"/>
  <c r="S68" i="32" s="1"/>
  <c r="T68" i="32" s="1"/>
  <c r="U68" i="32" s="1"/>
  <c r="V68" i="32" s="1"/>
  <c r="W68" i="32" s="1"/>
  <c r="X68" i="32" s="1"/>
  <c r="Y68" i="32" s="1"/>
  <c r="Z68" i="32" s="1"/>
  <c r="AA68" i="32" s="1"/>
  <c r="AB68" i="32" s="1"/>
  <c r="AC68" i="32" s="1"/>
  <c r="AD68" i="32" s="1"/>
  <c r="AE68" i="32" s="1"/>
  <c r="AF68" i="32" s="1"/>
  <c r="AG68" i="32" s="1"/>
  <c r="AH68" i="32" s="1"/>
  <c r="AI68" i="32" s="1"/>
  <c r="AJ68" i="32" s="1"/>
  <c r="AK68" i="32" s="1"/>
  <c r="AL68" i="32" s="1"/>
  <c r="AM68" i="32" s="1"/>
  <c r="AN68" i="32" s="1"/>
  <c r="AO68" i="32" s="1"/>
  <c r="AP68" i="32" s="1"/>
  <c r="AQ68" i="32" s="1"/>
  <c r="AR68" i="32" s="1"/>
  <c r="AS68" i="32" s="1"/>
  <c r="AT68" i="32" s="1"/>
  <c r="AU68" i="32" s="1"/>
  <c r="AV68" i="32" s="1"/>
  <c r="AW68" i="32" s="1"/>
  <c r="AX68" i="32" s="1"/>
  <c r="AY68" i="32" s="1"/>
  <c r="AZ68" i="32" s="1"/>
  <c r="BA68" i="32" s="1"/>
  <c r="BB68" i="32" s="1"/>
  <c r="BC68" i="32" s="1"/>
  <c r="BD68" i="32" s="1"/>
  <c r="BE68" i="32" s="1"/>
  <c r="BF68" i="32" s="1"/>
  <c r="BG68" i="32" s="1"/>
  <c r="BH68" i="32" s="1"/>
  <c r="BI68" i="32" s="1"/>
  <c r="BJ68" i="32" s="1"/>
  <c r="BK68" i="32" s="1"/>
  <c r="BL68" i="32" s="1"/>
  <c r="BL57" i="32" s="1"/>
  <c r="BL43" i="32" s="1"/>
  <c r="D69" i="32"/>
  <c r="D58" i="32" s="1"/>
  <c r="D44" i="32" s="1"/>
  <c r="N219" i="30"/>
  <c r="O219" i="30"/>
  <c r="P219" i="30"/>
  <c r="Q219" i="30"/>
  <c r="R219" i="30"/>
  <c r="S219" i="30"/>
  <c r="T219" i="30"/>
  <c r="U219" i="30"/>
  <c r="V219" i="30"/>
  <c r="W219" i="30"/>
  <c r="X219" i="30"/>
  <c r="Y219" i="30"/>
  <c r="Z219" i="30"/>
  <c r="AA219" i="30"/>
  <c r="AB219" i="30"/>
  <c r="AC219" i="30"/>
  <c r="AD219" i="30"/>
  <c r="AE219" i="30"/>
  <c r="AF219" i="30"/>
  <c r="AG219" i="30"/>
  <c r="AH219" i="30"/>
  <c r="AI219" i="30"/>
  <c r="AJ219" i="30"/>
  <c r="AK219" i="30"/>
  <c r="AL219" i="30"/>
  <c r="AM219" i="30"/>
  <c r="AN219" i="30"/>
  <c r="AO219" i="30"/>
  <c r="AP219" i="30"/>
  <c r="AQ219" i="30"/>
  <c r="AR219" i="30"/>
  <c r="AS219" i="30"/>
  <c r="AT219" i="30"/>
  <c r="AU219" i="30"/>
  <c r="AV219" i="30"/>
  <c r="AW219" i="30"/>
  <c r="AX219" i="30"/>
  <c r="AY219" i="30"/>
  <c r="AZ219" i="30"/>
  <c r="BA219" i="30"/>
  <c r="BB219" i="30"/>
  <c r="BC219" i="30"/>
  <c r="BD219" i="30"/>
  <c r="BE219" i="30"/>
  <c r="BF219" i="30"/>
  <c r="BG219" i="30"/>
  <c r="BH219" i="30"/>
  <c r="BI219" i="30"/>
  <c r="BJ219" i="30"/>
  <c r="BL219" i="30"/>
  <c r="H217" i="30"/>
  <c r="BI3" i="3" l="1"/>
  <c r="BE54" i="32"/>
  <c r="M3" i="3"/>
  <c r="I54" i="32"/>
  <c r="BH3" i="3"/>
  <c r="BD54" i="32"/>
  <c r="AR3" i="3"/>
  <c r="AN54" i="32"/>
  <c r="AB3" i="3"/>
  <c r="X54" i="32"/>
  <c r="BG3" i="3"/>
  <c r="BC54" i="32"/>
  <c r="AQ3" i="3"/>
  <c r="AM54" i="32"/>
  <c r="AA3" i="3"/>
  <c r="W54" i="32"/>
  <c r="BF3" i="3"/>
  <c r="BB54" i="32"/>
  <c r="AP3" i="3"/>
  <c r="AL54" i="32"/>
  <c r="R3" i="3"/>
  <c r="N54" i="32"/>
  <c r="BM3" i="3"/>
  <c r="BI54" i="32"/>
  <c r="BE3" i="3"/>
  <c r="BA54" i="32"/>
  <c r="AW3" i="3"/>
  <c r="AS54" i="32"/>
  <c r="AO3" i="3"/>
  <c r="AK54" i="32"/>
  <c r="AG3" i="3"/>
  <c r="AC54" i="32"/>
  <c r="Y3" i="3"/>
  <c r="U54" i="32"/>
  <c r="Q3" i="3"/>
  <c r="M54" i="32"/>
  <c r="BA3" i="3"/>
  <c r="AW54" i="32"/>
  <c r="AS3" i="3"/>
  <c r="AO54" i="32"/>
  <c r="AC3" i="3"/>
  <c r="Y54" i="32"/>
  <c r="U3" i="3"/>
  <c r="Q54" i="32"/>
  <c r="H7" i="3"/>
  <c r="H6" i="3"/>
  <c r="H5" i="3"/>
  <c r="H4" i="3"/>
  <c r="H9" i="3"/>
  <c r="H8" i="3"/>
  <c r="H10" i="3"/>
  <c r="D50" i="32"/>
  <c r="AZ3" i="3"/>
  <c r="AV54" i="32"/>
  <c r="AJ3" i="3"/>
  <c r="AF54" i="32"/>
  <c r="T3" i="3"/>
  <c r="P54" i="32"/>
  <c r="H20" i="3"/>
  <c r="H19" i="3"/>
  <c r="H18" i="3"/>
  <c r="D52" i="32"/>
  <c r="AY3" i="3"/>
  <c r="AU54" i="32"/>
  <c r="AI3" i="3"/>
  <c r="AE54" i="32"/>
  <c r="S3" i="3"/>
  <c r="O54" i="32"/>
  <c r="BN3" i="3"/>
  <c r="BJ54" i="32"/>
  <c r="AX3" i="3"/>
  <c r="AT54" i="32"/>
  <c r="AH3" i="3"/>
  <c r="AD54" i="32"/>
  <c r="Z3" i="3"/>
  <c r="V54" i="32"/>
  <c r="H15" i="3"/>
  <c r="H14" i="3"/>
  <c r="H13" i="3"/>
  <c r="H12" i="3"/>
  <c r="H17" i="3"/>
  <c r="H11" i="3"/>
  <c r="H21" i="3" s="1"/>
  <c r="H16" i="3"/>
  <c r="D51" i="32"/>
  <c r="BL3" i="3"/>
  <c r="BH54" i="32"/>
  <c r="BD3" i="3"/>
  <c r="AZ54" i="32"/>
  <c r="AV3" i="3"/>
  <c r="AR54" i="32"/>
  <c r="AN3" i="3"/>
  <c r="AJ54" i="32"/>
  <c r="AF3" i="3"/>
  <c r="AB54" i="32"/>
  <c r="X3" i="3"/>
  <c r="T54" i="32"/>
  <c r="P3" i="3"/>
  <c r="L54" i="32"/>
  <c r="BP4" i="3"/>
  <c r="BP6" i="3"/>
  <c r="BP8" i="3"/>
  <c r="BP10" i="3"/>
  <c r="BP5" i="3"/>
  <c r="BP9" i="3"/>
  <c r="BP7" i="3"/>
  <c r="BL50" i="32"/>
  <c r="BK3" i="3"/>
  <c r="BG54" i="32"/>
  <c r="BC3" i="3"/>
  <c r="AY54" i="32"/>
  <c r="AU3" i="3"/>
  <c r="AQ54" i="32"/>
  <c r="AM3" i="3"/>
  <c r="AI54" i="32"/>
  <c r="AE3" i="3"/>
  <c r="AA54" i="32"/>
  <c r="W3" i="3"/>
  <c r="S54" i="32"/>
  <c r="O3" i="3"/>
  <c r="K54" i="32"/>
  <c r="BO3" i="3"/>
  <c r="BK54" i="32"/>
  <c r="AK3" i="3"/>
  <c r="AG54" i="32"/>
  <c r="BP18" i="3"/>
  <c r="BP20" i="3"/>
  <c r="BP19" i="3"/>
  <c r="BL52" i="32"/>
  <c r="BJ3" i="3"/>
  <c r="BF54" i="32"/>
  <c r="BB3" i="3"/>
  <c r="AX54" i="32"/>
  <c r="AT3" i="3"/>
  <c r="AP54" i="32"/>
  <c r="AL3" i="3"/>
  <c r="AH54" i="32"/>
  <c r="AD3" i="3"/>
  <c r="Z54" i="32"/>
  <c r="V3" i="3"/>
  <c r="R54" i="32"/>
  <c r="N3" i="3"/>
  <c r="J54" i="32"/>
  <c r="L57" i="32"/>
  <c r="L43" i="32" s="1"/>
  <c r="T57" i="32"/>
  <c r="T43" i="32" s="1"/>
  <c r="AB59" i="32"/>
  <c r="AB45" i="32" s="1"/>
  <c r="T59" i="32"/>
  <c r="T45" i="32" s="1"/>
  <c r="L59" i="32"/>
  <c r="L45" i="32" s="1"/>
  <c r="AZ59" i="32"/>
  <c r="AZ45" i="32" s="1"/>
  <c r="AJ59" i="32"/>
  <c r="AJ45" i="32" s="1"/>
  <c r="AR57" i="32"/>
  <c r="AR43" i="32" s="1"/>
  <c r="BG59" i="32"/>
  <c r="BG45" i="32" s="1"/>
  <c r="AY59" i="32"/>
  <c r="AY45" i="32" s="1"/>
  <c r="AQ59" i="32"/>
  <c r="AQ45" i="32" s="1"/>
  <c r="AI59" i="32"/>
  <c r="AI45" i="32" s="1"/>
  <c r="AA59" i="32"/>
  <c r="AA45" i="32" s="1"/>
  <c r="S59" i="32"/>
  <c r="S45" i="32" s="1"/>
  <c r="K59" i="32"/>
  <c r="K45" i="32" s="1"/>
  <c r="BG57" i="32"/>
  <c r="BG43" i="32" s="1"/>
  <c r="AY57" i="32"/>
  <c r="AY43" i="32" s="1"/>
  <c r="AQ57" i="32"/>
  <c r="AQ43" i="32" s="1"/>
  <c r="AI57" i="32"/>
  <c r="AI43" i="32" s="1"/>
  <c r="AA57" i="32"/>
  <c r="AA43" i="32" s="1"/>
  <c r="S57" i="32"/>
  <c r="S43" i="32" s="1"/>
  <c r="K57" i="32"/>
  <c r="K43" i="32" s="1"/>
  <c r="H72" i="32"/>
  <c r="BH59" i="32"/>
  <c r="BH45" i="32" s="1"/>
  <c r="AR59" i="32"/>
  <c r="AR45" i="32" s="1"/>
  <c r="BH57" i="32"/>
  <c r="BH43" i="32" s="1"/>
  <c r="AJ57" i="32"/>
  <c r="AJ43" i="32" s="1"/>
  <c r="AB57" i="32"/>
  <c r="AB43" i="32" s="1"/>
  <c r="BF59" i="32"/>
  <c r="BF45" i="32" s="1"/>
  <c r="AX59" i="32"/>
  <c r="AX45" i="32" s="1"/>
  <c r="AP59" i="32"/>
  <c r="AP45" i="32" s="1"/>
  <c r="AH59" i="32"/>
  <c r="AH45" i="32" s="1"/>
  <c r="Z59" i="32"/>
  <c r="Z45" i="32" s="1"/>
  <c r="R59" i="32"/>
  <c r="R45" i="32" s="1"/>
  <c r="J59" i="32"/>
  <c r="J45" i="32" s="1"/>
  <c r="BF57" i="32"/>
  <c r="BF43" i="32" s="1"/>
  <c r="AX57" i="32"/>
  <c r="AX43" i="32" s="1"/>
  <c r="AP57" i="32"/>
  <c r="AP43" i="32" s="1"/>
  <c r="AH57" i="32"/>
  <c r="AH43" i="32" s="1"/>
  <c r="Z57" i="32"/>
  <c r="Z43" i="32" s="1"/>
  <c r="R57" i="32"/>
  <c r="R43" i="32" s="1"/>
  <c r="J57" i="32"/>
  <c r="J43" i="32" s="1"/>
  <c r="BL72" i="32"/>
  <c r="BL61" i="32" s="1"/>
  <c r="BL47" i="32" s="1"/>
  <c r="AZ57" i="32"/>
  <c r="AZ43" i="32" s="1"/>
  <c r="BE59" i="32"/>
  <c r="BE45" i="32" s="1"/>
  <c r="AW59" i="32"/>
  <c r="AW45" i="32" s="1"/>
  <c r="AO59" i="32"/>
  <c r="AO45" i="32" s="1"/>
  <c r="AG59" i="32"/>
  <c r="AG45" i="32" s="1"/>
  <c r="Y59" i="32"/>
  <c r="Y45" i="32" s="1"/>
  <c r="Q59" i="32"/>
  <c r="Q45" i="32" s="1"/>
  <c r="I59" i="32"/>
  <c r="I45" i="32" s="1"/>
  <c r="BE57" i="32"/>
  <c r="BE43" i="32" s="1"/>
  <c r="AW57" i="32"/>
  <c r="AW43" i="32" s="1"/>
  <c r="AO57" i="32"/>
  <c r="AO43" i="32" s="1"/>
  <c r="AG57" i="32"/>
  <c r="AG43" i="32" s="1"/>
  <c r="Y57" i="32"/>
  <c r="Y43" i="32" s="1"/>
  <c r="Q57" i="32"/>
  <c r="Q43" i="32" s="1"/>
  <c r="I57" i="32"/>
  <c r="I43" i="32" s="1"/>
  <c r="BD59" i="32"/>
  <c r="BD45" i="32" s="1"/>
  <c r="AV59" i="32"/>
  <c r="AV45" i="32" s="1"/>
  <c r="AN59" i="32"/>
  <c r="AN45" i="32" s="1"/>
  <c r="AF59" i="32"/>
  <c r="AF45" i="32" s="1"/>
  <c r="X59" i="32"/>
  <c r="X45" i="32" s="1"/>
  <c r="P59" i="32"/>
  <c r="P45" i="32" s="1"/>
  <c r="H59" i="32"/>
  <c r="H45" i="32" s="1"/>
  <c r="BD57" i="32"/>
  <c r="BD43" i="32" s="1"/>
  <c r="AV57" i="32"/>
  <c r="AV43" i="32" s="1"/>
  <c r="AN57" i="32"/>
  <c r="AN43" i="32" s="1"/>
  <c r="AF57" i="32"/>
  <c r="AF43" i="32" s="1"/>
  <c r="X57" i="32"/>
  <c r="X43" i="32" s="1"/>
  <c r="P57" i="32"/>
  <c r="P43" i="32" s="1"/>
  <c r="H57" i="32"/>
  <c r="H43" i="32" s="1"/>
  <c r="BK59" i="32"/>
  <c r="BK45" i="32" s="1"/>
  <c r="BC59" i="32"/>
  <c r="BC45" i="32" s="1"/>
  <c r="AU59" i="32"/>
  <c r="AU45" i="32" s="1"/>
  <c r="AM59" i="32"/>
  <c r="AM45" i="32" s="1"/>
  <c r="AE59" i="32"/>
  <c r="AE45" i="32" s="1"/>
  <c r="W59" i="32"/>
  <c r="W45" i="32" s="1"/>
  <c r="O59" i="32"/>
  <c r="O45" i="32" s="1"/>
  <c r="G59" i="32"/>
  <c r="G45" i="32" s="1"/>
  <c r="BK57" i="32"/>
  <c r="BK43" i="32" s="1"/>
  <c r="BC57" i="32"/>
  <c r="BC43" i="32" s="1"/>
  <c r="AU57" i="32"/>
  <c r="AU43" i="32" s="1"/>
  <c r="AM57" i="32"/>
  <c r="AM43" i="32" s="1"/>
  <c r="AE57" i="32"/>
  <c r="AE43" i="32" s="1"/>
  <c r="W57" i="32"/>
  <c r="W43" i="32" s="1"/>
  <c r="O57" i="32"/>
  <c r="O43" i="32" s="1"/>
  <c r="G57" i="32"/>
  <c r="G43" i="32" s="1"/>
  <c r="BJ59" i="32"/>
  <c r="BJ45" i="32" s="1"/>
  <c r="BB59" i="32"/>
  <c r="BB45" i="32" s="1"/>
  <c r="AT59" i="32"/>
  <c r="AT45" i="32" s="1"/>
  <c r="AL59" i="32"/>
  <c r="AL45" i="32" s="1"/>
  <c r="AD59" i="32"/>
  <c r="AD45" i="32" s="1"/>
  <c r="V59" i="32"/>
  <c r="V45" i="32" s="1"/>
  <c r="N59" i="32"/>
  <c r="N45" i="32" s="1"/>
  <c r="F59" i="32"/>
  <c r="F45" i="32" s="1"/>
  <c r="BJ57" i="32"/>
  <c r="BJ43" i="32" s="1"/>
  <c r="BB57" i="32"/>
  <c r="BB43" i="32" s="1"/>
  <c r="AT57" i="32"/>
  <c r="AT43" i="32" s="1"/>
  <c r="AL57" i="32"/>
  <c r="AL43" i="32" s="1"/>
  <c r="AD57" i="32"/>
  <c r="AD43" i="32" s="1"/>
  <c r="V57" i="32"/>
  <c r="V43" i="32" s="1"/>
  <c r="N57" i="32"/>
  <c r="N43" i="32" s="1"/>
  <c r="F57" i="32"/>
  <c r="F43" i="32" s="1"/>
  <c r="BI59" i="32"/>
  <c r="BI45" i="32" s="1"/>
  <c r="BA59" i="32"/>
  <c r="BA45" i="32" s="1"/>
  <c r="AS59" i="32"/>
  <c r="AS45" i="32" s="1"/>
  <c r="AK59" i="32"/>
  <c r="AK45" i="32" s="1"/>
  <c r="AC59" i="32"/>
  <c r="AC45" i="32" s="1"/>
  <c r="U59" i="32"/>
  <c r="U45" i="32" s="1"/>
  <c r="M59" i="32"/>
  <c r="M45" i="32" s="1"/>
  <c r="E59" i="32"/>
  <c r="E45" i="32" s="1"/>
  <c r="BI57" i="32"/>
  <c r="BI43" i="32" s="1"/>
  <c r="BA57" i="32"/>
  <c r="BA43" i="32" s="1"/>
  <c r="AS57" i="32"/>
  <c r="AS43" i="32" s="1"/>
  <c r="AK57" i="32"/>
  <c r="AK43" i="32" s="1"/>
  <c r="AC57" i="32"/>
  <c r="AC43" i="32" s="1"/>
  <c r="U57" i="32"/>
  <c r="U43" i="32" s="1"/>
  <c r="M57" i="32"/>
  <c r="M43" i="32" s="1"/>
  <c r="E57" i="32"/>
  <c r="E43" i="32" s="1"/>
  <c r="BL69" i="32"/>
  <c r="BL58" i="32" s="1"/>
  <c r="BL44" i="32" s="1"/>
  <c r="BB69" i="32"/>
  <c r="BB58" i="32" s="1"/>
  <c r="BB44" i="32" s="1"/>
  <c r="BJ69" i="32"/>
  <c r="BJ58" i="32" s="1"/>
  <c r="BJ44" i="32" s="1"/>
  <c r="AT69" i="32"/>
  <c r="AT58" i="32" s="1"/>
  <c r="AT44" i="32" s="1"/>
  <c r="AD69" i="32"/>
  <c r="AD58" i="32" s="1"/>
  <c r="AD44" i="32" s="1"/>
  <c r="V69" i="32"/>
  <c r="V58" i="32" s="1"/>
  <c r="V44" i="32" s="1"/>
  <c r="N69" i="32"/>
  <c r="N58" i="32" s="1"/>
  <c r="N44" i="32" s="1"/>
  <c r="AL69" i="32"/>
  <c r="AL58" i="32" s="1"/>
  <c r="AL44" i="32" s="1"/>
  <c r="F69" i="32"/>
  <c r="F58" i="32" s="1"/>
  <c r="F44" i="32" s="1"/>
  <c r="BH69" i="32"/>
  <c r="BH58" i="32" s="1"/>
  <c r="BH44" i="32" s="1"/>
  <c r="AZ69" i="32"/>
  <c r="AZ58" i="32" s="1"/>
  <c r="AZ44" i="32" s="1"/>
  <c r="AR69" i="32"/>
  <c r="AR58" i="32" s="1"/>
  <c r="AR44" i="32" s="1"/>
  <c r="AJ69" i="32"/>
  <c r="AJ58" i="32" s="1"/>
  <c r="AJ44" i="32" s="1"/>
  <c r="AB69" i="32"/>
  <c r="AB58" i="32" s="1"/>
  <c r="AB44" i="32" s="1"/>
  <c r="T69" i="32"/>
  <c r="T58" i="32" s="1"/>
  <c r="T44" i="32" s="1"/>
  <c r="L69" i="32"/>
  <c r="L58" i="32" s="1"/>
  <c r="L44" i="32" s="1"/>
  <c r="BG69" i="32"/>
  <c r="BG58" i="32" s="1"/>
  <c r="BG44" i="32" s="1"/>
  <c r="AY69" i="32"/>
  <c r="AY58" i="32" s="1"/>
  <c r="AY44" i="32" s="1"/>
  <c r="AQ69" i="32"/>
  <c r="AQ58" i="32" s="1"/>
  <c r="AQ44" i="32" s="1"/>
  <c r="AI69" i="32"/>
  <c r="AI58" i="32" s="1"/>
  <c r="AI44" i="32" s="1"/>
  <c r="AA69" i="32"/>
  <c r="AA58" i="32" s="1"/>
  <c r="AA44" i="32" s="1"/>
  <c r="S69" i="32"/>
  <c r="S58" i="32" s="1"/>
  <c r="S44" i="32" s="1"/>
  <c r="K69" i="32"/>
  <c r="K58" i="32" s="1"/>
  <c r="K44" i="32" s="1"/>
  <c r="BF69" i="32"/>
  <c r="BF58" i="32" s="1"/>
  <c r="BF44" i="32" s="1"/>
  <c r="AX69" i="32"/>
  <c r="AX58" i="32" s="1"/>
  <c r="AX44" i="32" s="1"/>
  <c r="AP69" i="32"/>
  <c r="AP58" i="32" s="1"/>
  <c r="AP44" i="32" s="1"/>
  <c r="AH69" i="32"/>
  <c r="AH58" i="32" s="1"/>
  <c r="AH44" i="32" s="1"/>
  <c r="Z69" i="32"/>
  <c r="Z58" i="32" s="1"/>
  <c r="Z44" i="32" s="1"/>
  <c r="R69" i="32"/>
  <c r="R58" i="32" s="1"/>
  <c r="R44" i="32" s="1"/>
  <c r="J69" i="32"/>
  <c r="J58" i="32" s="1"/>
  <c r="J44" i="32" s="1"/>
  <c r="BE69" i="32"/>
  <c r="BE58" i="32" s="1"/>
  <c r="BE44" i="32" s="1"/>
  <c r="AW69" i="32"/>
  <c r="AW58" i="32" s="1"/>
  <c r="AW44" i="32" s="1"/>
  <c r="AO69" i="32"/>
  <c r="AO58" i="32" s="1"/>
  <c r="AO44" i="32" s="1"/>
  <c r="AG69" i="32"/>
  <c r="AG58" i="32" s="1"/>
  <c r="AG44" i="32" s="1"/>
  <c r="Y69" i="32"/>
  <c r="Y58" i="32" s="1"/>
  <c r="Y44" i="32" s="1"/>
  <c r="Q69" i="32"/>
  <c r="Q58" i="32" s="1"/>
  <c r="Q44" i="32" s="1"/>
  <c r="I69" i="32"/>
  <c r="I58" i="32" s="1"/>
  <c r="I44" i="32" s="1"/>
  <c r="BD69" i="32"/>
  <c r="BD58" i="32" s="1"/>
  <c r="BD44" i="32" s="1"/>
  <c r="AV69" i="32"/>
  <c r="AV58" i="32" s="1"/>
  <c r="AV44" i="32" s="1"/>
  <c r="AN69" i="32"/>
  <c r="AN58" i="32" s="1"/>
  <c r="AN44" i="32" s="1"/>
  <c r="AF69" i="32"/>
  <c r="AF58" i="32" s="1"/>
  <c r="AF44" i="32" s="1"/>
  <c r="X69" i="32"/>
  <c r="X58" i="32" s="1"/>
  <c r="X44" i="32" s="1"/>
  <c r="P69" i="32"/>
  <c r="P58" i="32" s="1"/>
  <c r="P44" i="32" s="1"/>
  <c r="H69" i="32"/>
  <c r="H58" i="32" s="1"/>
  <c r="H44" i="32" s="1"/>
  <c r="BK69" i="32"/>
  <c r="BK58" i="32" s="1"/>
  <c r="BK44" i="32" s="1"/>
  <c r="BC69" i="32"/>
  <c r="BC58" i="32" s="1"/>
  <c r="BC44" i="32" s="1"/>
  <c r="AU69" i="32"/>
  <c r="AU58" i="32" s="1"/>
  <c r="AU44" i="32" s="1"/>
  <c r="AM69" i="32"/>
  <c r="AM58" i="32" s="1"/>
  <c r="AM44" i="32" s="1"/>
  <c r="AE69" i="32"/>
  <c r="AE58" i="32" s="1"/>
  <c r="AE44" i="32" s="1"/>
  <c r="W69" i="32"/>
  <c r="W58" i="32" s="1"/>
  <c r="W44" i="32" s="1"/>
  <c r="O69" i="32"/>
  <c r="O58" i="32" s="1"/>
  <c r="O44" i="32" s="1"/>
  <c r="G69" i="32"/>
  <c r="G58" i="32" s="1"/>
  <c r="G44" i="32" s="1"/>
  <c r="BI69" i="32"/>
  <c r="BI58" i="32" s="1"/>
  <c r="BI44" i="32" s="1"/>
  <c r="BA69" i="32"/>
  <c r="BA58" i="32" s="1"/>
  <c r="BA44" i="32" s="1"/>
  <c r="AS69" i="32"/>
  <c r="AS58" i="32" s="1"/>
  <c r="AS44" i="32" s="1"/>
  <c r="AK69" i="32"/>
  <c r="AK58" i="32" s="1"/>
  <c r="AK44" i="32" s="1"/>
  <c r="AC69" i="32"/>
  <c r="AC58" i="32" s="1"/>
  <c r="AC44" i="32" s="1"/>
  <c r="U69" i="32"/>
  <c r="U58" i="32" s="1"/>
  <c r="U44" i="32" s="1"/>
  <c r="M69" i="32"/>
  <c r="M58" i="32" s="1"/>
  <c r="M44" i="32" s="1"/>
  <c r="E69" i="32"/>
  <c r="E58" i="32" s="1"/>
  <c r="E44" i="32" s="1"/>
  <c r="N196" i="30"/>
  <c r="O196" i="30"/>
  <c r="P196" i="30"/>
  <c r="Q196" i="30"/>
  <c r="R196" i="30"/>
  <c r="S196" i="30"/>
  <c r="T196" i="30"/>
  <c r="U196" i="30"/>
  <c r="V196" i="30"/>
  <c r="W196" i="30"/>
  <c r="X196" i="30"/>
  <c r="Y196" i="30"/>
  <c r="Z196" i="30"/>
  <c r="AA196" i="30"/>
  <c r="AB196" i="30"/>
  <c r="AC196" i="30"/>
  <c r="AD196" i="30"/>
  <c r="AE196" i="30"/>
  <c r="AF196" i="30"/>
  <c r="AG196" i="30"/>
  <c r="AH196" i="30"/>
  <c r="AI196" i="30"/>
  <c r="AJ196" i="30"/>
  <c r="AK196" i="30"/>
  <c r="AL196" i="30"/>
  <c r="AM196" i="30"/>
  <c r="AN196" i="30"/>
  <c r="AO196" i="30"/>
  <c r="AP196" i="30"/>
  <c r="AQ196" i="30"/>
  <c r="AR196" i="30"/>
  <c r="AS196" i="30"/>
  <c r="AT196" i="30"/>
  <c r="AU196" i="30"/>
  <c r="AV196" i="30"/>
  <c r="AW196" i="30"/>
  <c r="AX196" i="30"/>
  <c r="AY196" i="30"/>
  <c r="AZ196" i="30"/>
  <c r="BA196" i="30"/>
  <c r="BB196" i="30"/>
  <c r="BC196" i="30"/>
  <c r="BD196" i="30"/>
  <c r="BE196" i="30"/>
  <c r="BF196" i="30"/>
  <c r="BG196" i="30"/>
  <c r="BH196" i="30"/>
  <c r="BI196" i="30"/>
  <c r="BJ196" i="30"/>
  <c r="N211" i="30"/>
  <c r="O211" i="30"/>
  <c r="P211" i="30"/>
  <c r="Q211" i="30"/>
  <c r="R211" i="30"/>
  <c r="S211" i="30"/>
  <c r="T211" i="30"/>
  <c r="U211" i="30"/>
  <c r="V211" i="30"/>
  <c r="W211" i="30"/>
  <c r="X211" i="30"/>
  <c r="Y211" i="30"/>
  <c r="Z211" i="30"/>
  <c r="AA211" i="30"/>
  <c r="AB211" i="30"/>
  <c r="AC211" i="30"/>
  <c r="AD211" i="30"/>
  <c r="AE211" i="30"/>
  <c r="AF211" i="30"/>
  <c r="AG211" i="30"/>
  <c r="AH211" i="30"/>
  <c r="AI211" i="30"/>
  <c r="AK211" i="30"/>
  <c r="AL211" i="30"/>
  <c r="AM211" i="30"/>
  <c r="AN211" i="30"/>
  <c r="AO211" i="30"/>
  <c r="AP211" i="30"/>
  <c r="AQ211" i="30"/>
  <c r="AR211" i="30"/>
  <c r="AS211" i="30"/>
  <c r="AT211" i="30"/>
  <c r="AU211" i="30"/>
  <c r="AV211" i="30"/>
  <c r="AW211" i="30"/>
  <c r="AX211" i="30"/>
  <c r="AY211" i="30"/>
  <c r="AZ211" i="30"/>
  <c r="BA211" i="30"/>
  <c r="BB211" i="30"/>
  <c r="BC211" i="30"/>
  <c r="BD211" i="30"/>
  <c r="BE211" i="30"/>
  <c r="BF211" i="30"/>
  <c r="BG211" i="30"/>
  <c r="BH211" i="30"/>
  <c r="BI211" i="30"/>
  <c r="BJ211" i="30"/>
  <c r="N204" i="30"/>
  <c r="O204" i="30"/>
  <c r="P204" i="30"/>
  <c r="Q204" i="30"/>
  <c r="Q205" i="30" s="1"/>
  <c r="R204" i="30"/>
  <c r="R205" i="30" s="1"/>
  <c r="S204" i="30"/>
  <c r="T204" i="30"/>
  <c r="T205" i="30" s="1"/>
  <c r="U204" i="30"/>
  <c r="U205" i="30" s="1"/>
  <c r="V204" i="30"/>
  <c r="W204" i="30"/>
  <c r="X204" i="30"/>
  <c r="Y204" i="30"/>
  <c r="Y205" i="30" s="1"/>
  <c r="Z204" i="30"/>
  <c r="AA204" i="30"/>
  <c r="AB204" i="30"/>
  <c r="AB205" i="30" s="1"/>
  <c r="AC204" i="30"/>
  <c r="AC205" i="30" s="1"/>
  <c r="AD204" i="30"/>
  <c r="AE204" i="30"/>
  <c r="AE205" i="30" s="1"/>
  <c r="AF204" i="30"/>
  <c r="AF205" i="30" s="1"/>
  <c r="AG204" i="30"/>
  <c r="AH204" i="30"/>
  <c r="AI204" i="30"/>
  <c r="AJ204" i="30"/>
  <c r="AJ205" i="30" s="1"/>
  <c r="AK204" i="30"/>
  <c r="AK205" i="30" s="1"/>
  <c r="AL204" i="30"/>
  <c r="AL205" i="30" s="1"/>
  <c r="AM204" i="30"/>
  <c r="AM205" i="30" s="1"/>
  <c r="AN204" i="30"/>
  <c r="AN205" i="30" s="1"/>
  <c r="AO204" i="30"/>
  <c r="AP204" i="30"/>
  <c r="AQ204" i="30"/>
  <c r="AR204" i="30"/>
  <c r="AR205" i="30" s="1"/>
  <c r="AS204" i="30"/>
  <c r="AS205" i="30" s="1"/>
  <c r="AT204" i="30"/>
  <c r="AU204" i="30"/>
  <c r="AV204" i="30"/>
  <c r="AW204" i="30"/>
  <c r="AX204" i="30"/>
  <c r="AX205" i="30" s="1"/>
  <c r="AY204" i="30"/>
  <c r="AZ204" i="30"/>
  <c r="AZ205" i="30" s="1"/>
  <c r="BA204" i="30"/>
  <c r="BA205" i="30" s="1"/>
  <c r="BB204" i="30"/>
  <c r="BC204" i="30"/>
  <c r="BD204" i="30"/>
  <c r="BD205" i="30" s="1"/>
  <c r="BE204" i="30"/>
  <c r="BF204" i="30"/>
  <c r="BF205" i="30" s="1"/>
  <c r="BG204" i="30"/>
  <c r="BH204" i="30"/>
  <c r="BH205" i="30" s="1"/>
  <c r="BI204" i="30"/>
  <c r="BI205" i="30" s="1"/>
  <c r="BJ204" i="30"/>
  <c r="BL204" i="30"/>
  <c r="P205" i="30"/>
  <c r="BE205" i="30"/>
  <c r="AY205" i="30"/>
  <c r="AI205" i="30"/>
  <c r="Z205" i="30"/>
  <c r="H202" i="30"/>
  <c r="AO12" i="3" l="1"/>
  <c r="AO14" i="3"/>
  <c r="AO11" i="3"/>
  <c r="AO21" i="3" s="1"/>
  <c r="AO15" i="3"/>
  <c r="AO17" i="3"/>
  <c r="AO13" i="3"/>
  <c r="AO16" i="3"/>
  <c r="AK51" i="32"/>
  <c r="BA11" i="3"/>
  <c r="BA21" i="3" s="1"/>
  <c r="BA13" i="3"/>
  <c r="BA15" i="3"/>
  <c r="BA14" i="3"/>
  <c r="BA16" i="3"/>
  <c r="BA12" i="3"/>
  <c r="BA17" i="3"/>
  <c r="AW51" i="32"/>
  <c r="AP12" i="3"/>
  <c r="AP14" i="3"/>
  <c r="AP16" i="3"/>
  <c r="AP11" i="3"/>
  <c r="AP21" i="3" s="1"/>
  <c r="AP15" i="3"/>
  <c r="AP17" i="3"/>
  <c r="AP13" i="3"/>
  <c r="AL51" i="32"/>
  <c r="J4" i="3"/>
  <c r="J6" i="3"/>
  <c r="J8" i="3"/>
  <c r="J10" i="3"/>
  <c r="J7" i="3"/>
  <c r="J5" i="3"/>
  <c r="J9" i="3"/>
  <c r="F50" i="32"/>
  <c r="K4" i="3"/>
  <c r="K6" i="3"/>
  <c r="K8" i="3"/>
  <c r="K10" i="3"/>
  <c r="K7" i="3"/>
  <c r="K5" i="3"/>
  <c r="K9" i="3"/>
  <c r="G50" i="32"/>
  <c r="L4" i="3"/>
  <c r="L6" i="3"/>
  <c r="L8" i="3"/>
  <c r="L10" i="3"/>
  <c r="L7" i="3"/>
  <c r="L9" i="3"/>
  <c r="L5" i="3"/>
  <c r="H50" i="32"/>
  <c r="T18" i="3"/>
  <c r="T20" i="3"/>
  <c r="T19" i="3"/>
  <c r="P52" i="32"/>
  <c r="AK18" i="3"/>
  <c r="AK20" i="3"/>
  <c r="AK19" i="3"/>
  <c r="AG52" i="32"/>
  <c r="AL19" i="3"/>
  <c r="AL18" i="3"/>
  <c r="AL20" i="3"/>
  <c r="AH52" i="32"/>
  <c r="BK5" i="3"/>
  <c r="BK7" i="3"/>
  <c r="BK9" i="3"/>
  <c r="BK4" i="3"/>
  <c r="BK8" i="3"/>
  <c r="BK10" i="3"/>
  <c r="BK6" i="3"/>
  <c r="BG50" i="32"/>
  <c r="AW12" i="3"/>
  <c r="AW14" i="3"/>
  <c r="AW13" i="3"/>
  <c r="AW17" i="3"/>
  <c r="AW11" i="3"/>
  <c r="AW21" i="3" s="1"/>
  <c r="AW15" i="3"/>
  <c r="AW16" i="3"/>
  <c r="AS51" i="32"/>
  <c r="BI11" i="3"/>
  <c r="BI21" i="3" s="1"/>
  <c r="BI13" i="3"/>
  <c r="BI12" i="3"/>
  <c r="BI15" i="3"/>
  <c r="BI16" i="3"/>
  <c r="BI17" i="3"/>
  <c r="BI14" i="3"/>
  <c r="BE51" i="32"/>
  <c r="X11" i="3"/>
  <c r="X21" i="3" s="1"/>
  <c r="X13" i="3"/>
  <c r="X15" i="3"/>
  <c r="X17" i="3"/>
  <c r="X14" i="3"/>
  <c r="X16" i="3"/>
  <c r="X12" i="3"/>
  <c r="T51" i="32"/>
  <c r="Q19" i="3"/>
  <c r="Q18" i="3"/>
  <c r="Q20" i="3"/>
  <c r="M52" i="32"/>
  <c r="S4" i="3"/>
  <c r="S6" i="3"/>
  <c r="S8" i="3"/>
  <c r="S10" i="3"/>
  <c r="S5" i="3"/>
  <c r="S9" i="3"/>
  <c r="S7" i="3"/>
  <c r="O50" i="32"/>
  <c r="AK5" i="3"/>
  <c r="AK7" i="3"/>
  <c r="AK9" i="3"/>
  <c r="AK6" i="3"/>
  <c r="AK10" i="3"/>
  <c r="AK4" i="3"/>
  <c r="AK8" i="3"/>
  <c r="AG50" i="32"/>
  <c r="AL5" i="3"/>
  <c r="AL7" i="3"/>
  <c r="AL9" i="3"/>
  <c r="AL6" i="3"/>
  <c r="AL10" i="3"/>
  <c r="AL8" i="3"/>
  <c r="AL4" i="3"/>
  <c r="AH50" i="32"/>
  <c r="O19" i="3"/>
  <c r="O18" i="3"/>
  <c r="O20" i="3"/>
  <c r="K52" i="32"/>
  <c r="BG12" i="3"/>
  <c r="BG16" i="3"/>
  <c r="BG11" i="3"/>
  <c r="BG21" i="3" s="1"/>
  <c r="BG14" i="3"/>
  <c r="BG17" i="3"/>
  <c r="BG13" i="3"/>
  <c r="BG15" i="3"/>
  <c r="BC51" i="32"/>
  <c r="N11" i="3"/>
  <c r="N21" i="3" s="1"/>
  <c r="N13" i="3"/>
  <c r="N15" i="3"/>
  <c r="N17" i="3"/>
  <c r="N12" i="3"/>
  <c r="N16" i="3"/>
  <c r="N14" i="3"/>
  <c r="J51" i="32"/>
  <c r="AF11" i="3"/>
  <c r="AF21" i="3" s="1"/>
  <c r="AF13" i="3"/>
  <c r="AF15" i="3"/>
  <c r="AF17" i="3"/>
  <c r="AF12" i="3"/>
  <c r="AF14" i="3"/>
  <c r="AF16" i="3"/>
  <c r="AB51" i="32"/>
  <c r="Y4" i="3"/>
  <c r="Y6" i="3"/>
  <c r="Y8" i="3"/>
  <c r="Y10" i="3"/>
  <c r="Y7" i="3"/>
  <c r="Y5" i="3"/>
  <c r="Y9" i="3"/>
  <c r="U50" i="32"/>
  <c r="Z4" i="3"/>
  <c r="Z6" i="3"/>
  <c r="Z8" i="3"/>
  <c r="Z10" i="3"/>
  <c r="Z7" i="3"/>
  <c r="Z9" i="3"/>
  <c r="Z5" i="3"/>
  <c r="V50" i="32"/>
  <c r="AA4" i="3"/>
  <c r="AA6" i="3"/>
  <c r="AA8" i="3"/>
  <c r="AA10" i="3"/>
  <c r="AA7" i="3"/>
  <c r="AA9" i="3"/>
  <c r="AA5" i="3"/>
  <c r="W50" i="32"/>
  <c r="AJ18" i="3"/>
  <c r="AJ20" i="3"/>
  <c r="AJ19" i="3"/>
  <c r="AF52" i="32"/>
  <c r="BA18" i="3"/>
  <c r="BA20" i="3"/>
  <c r="BA19" i="3"/>
  <c r="AW52" i="32"/>
  <c r="BB19" i="3"/>
  <c r="BB18" i="3"/>
  <c r="BB20" i="3"/>
  <c r="AX52" i="32"/>
  <c r="W19" i="3"/>
  <c r="W20" i="3"/>
  <c r="W18" i="3"/>
  <c r="S52" i="32"/>
  <c r="BM12" i="3"/>
  <c r="BM14" i="3"/>
  <c r="BM13" i="3"/>
  <c r="BM15" i="3"/>
  <c r="BM17" i="3"/>
  <c r="BM11" i="3"/>
  <c r="BM21" i="3" s="1"/>
  <c r="BM16" i="3"/>
  <c r="BI51" i="32"/>
  <c r="M11" i="3"/>
  <c r="M21" i="3" s="1"/>
  <c r="M13" i="3"/>
  <c r="M15" i="3"/>
  <c r="M12" i="3"/>
  <c r="M14" i="3"/>
  <c r="M16" i="3"/>
  <c r="M17" i="3"/>
  <c r="I51" i="32"/>
  <c r="AE11" i="3"/>
  <c r="AE21" i="3" s="1"/>
  <c r="AE13" i="3"/>
  <c r="AE15" i="3"/>
  <c r="AE17" i="3"/>
  <c r="AE12" i="3"/>
  <c r="AE14" i="3"/>
  <c r="AE16" i="3"/>
  <c r="AA51" i="32"/>
  <c r="AN11" i="3"/>
  <c r="AN21" i="3" s="1"/>
  <c r="AN13" i="3"/>
  <c r="AN17" i="3"/>
  <c r="AN14" i="3"/>
  <c r="AN16" i="3"/>
  <c r="AN15" i="3"/>
  <c r="AN12" i="3"/>
  <c r="AJ51" i="32"/>
  <c r="AG4" i="3"/>
  <c r="AG6" i="3"/>
  <c r="AG8" i="3"/>
  <c r="AG10" i="3"/>
  <c r="AG5" i="3"/>
  <c r="AG9" i="3"/>
  <c r="AG7" i="3"/>
  <c r="AC50" i="32"/>
  <c r="AG19" i="3"/>
  <c r="AG18" i="3"/>
  <c r="AG20" i="3"/>
  <c r="AC52" i="32"/>
  <c r="AH18" i="3"/>
  <c r="AH20" i="3"/>
  <c r="AH19" i="3"/>
  <c r="AD52" i="32"/>
  <c r="AI18" i="3"/>
  <c r="AI20" i="3"/>
  <c r="AI19" i="3"/>
  <c r="AE52" i="32"/>
  <c r="AR20" i="3"/>
  <c r="AR18" i="3"/>
  <c r="AR19" i="3"/>
  <c r="AN52" i="32"/>
  <c r="BB5" i="3"/>
  <c r="BB7" i="3"/>
  <c r="BB9" i="3"/>
  <c r="BB6" i="3"/>
  <c r="BB10" i="3"/>
  <c r="BB8" i="3"/>
  <c r="BB4" i="3"/>
  <c r="AX50" i="32"/>
  <c r="W5" i="3"/>
  <c r="W7" i="3"/>
  <c r="W9" i="3"/>
  <c r="W6" i="3"/>
  <c r="W10" i="3"/>
  <c r="W8" i="3"/>
  <c r="W4" i="3"/>
  <c r="S50" i="32"/>
  <c r="P19" i="3"/>
  <c r="P18" i="3"/>
  <c r="P20" i="3"/>
  <c r="L52" i="32"/>
  <c r="I12" i="3"/>
  <c r="I14" i="3"/>
  <c r="I11" i="3"/>
  <c r="I21" i="3" s="1"/>
  <c r="I15" i="3"/>
  <c r="I17" i="3"/>
  <c r="I13" i="3"/>
  <c r="I16" i="3"/>
  <c r="E51" i="32"/>
  <c r="K12" i="3"/>
  <c r="K14" i="3"/>
  <c r="K16" i="3"/>
  <c r="K11" i="3"/>
  <c r="K21" i="3" s="1"/>
  <c r="K15" i="3"/>
  <c r="K17" i="3"/>
  <c r="K13" i="3"/>
  <c r="G51" i="32"/>
  <c r="L12" i="3"/>
  <c r="L14" i="3"/>
  <c r="L16" i="3"/>
  <c r="L11" i="3"/>
  <c r="L21" i="3" s="1"/>
  <c r="L15" i="3"/>
  <c r="L17" i="3"/>
  <c r="L13" i="3"/>
  <c r="H51" i="32"/>
  <c r="U11" i="3"/>
  <c r="U21" i="3" s="1"/>
  <c r="U13" i="3"/>
  <c r="U15" i="3"/>
  <c r="U14" i="3"/>
  <c r="U16" i="3"/>
  <c r="U12" i="3"/>
  <c r="U17" i="3"/>
  <c r="Q51" i="32"/>
  <c r="AD11" i="3"/>
  <c r="AD21" i="3" s="1"/>
  <c r="AD13" i="3"/>
  <c r="AD15" i="3"/>
  <c r="AD17" i="3"/>
  <c r="AD12" i="3"/>
  <c r="AD16" i="3"/>
  <c r="AD14" i="3"/>
  <c r="Z51" i="32"/>
  <c r="AM11" i="3"/>
  <c r="AM21" i="3" s="1"/>
  <c r="AM13" i="3"/>
  <c r="AM17" i="3"/>
  <c r="AM14" i="3"/>
  <c r="AM15" i="3"/>
  <c r="AM12" i="3"/>
  <c r="AM16" i="3"/>
  <c r="AI51" i="32"/>
  <c r="AV11" i="3"/>
  <c r="AV21" i="3" s="1"/>
  <c r="AV13" i="3"/>
  <c r="AV17" i="3"/>
  <c r="AV12" i="3"/>
  <c r="AV16" i="3"/>
  <c r="AV15" i="3"/>
  <c r="AV14" i="3"/>
  <c r="AR51" i="32"/>
  <c r="AX12" i="3"/>
  <c r="AX14" i="3"/>
  <c r="AX16" i="3"/>
  <c r="AX13" i="3"/>
  <c r="AX17" i="3"/>
  <c r="AX15" i="3"/>
  <c r="AX11" i="3"/>
  <c r="AX21" i="3" s="1"/>
  <c r="AT51" i="32"/>
  <c r="AO4" i="3"/>
  <c r="AO6" i="3"/>
  <c r="AO8" i="3"/>
  <c r="AO10" i="3"/>
  <c r="AO7" i="3"/>
  <c r="AO5" i="3"/>
  <c r="AO9" i="3"/>
  <c r="AK50" i="32"/>
  <c r="AO19" i="3"/>
  <c r="AO20" i="3"/>
  <c r="AO18" i="3"/>
  <c r="AK52" i="32"/>
  <c r="AP4" i="3"/>
  <c r="AP6" i="3"/>
  <c r="AP8" i="3"/>
  <c r="AP10" i="3"/>
  <c r="AP7" i="3"/>
  <c r="AP9" i="3"/>
  <c r="AP5" i="3"/>
  <c r="AL50" i="32"/>
  <c r="AP18" i="3"/>
  <c r="AP20" i="3"/>
  <c r="AP19" i="3"/>
  <c r="AL52" i="32"/>
  <c r="AQ4" i="3"/>
  <c r="AQ6" i="3"/>
  <c r="AQ8" i="3"/>
  <c r="AQ10" i="3"/>
  <c r="AQ7" i="3"/>
  <c r="AQ5" i="3"/>
  <c r="AQ9" i="3"/>
  <c r="AM50" i="32"/>
  <c r="AQ18" i="3"/>
  <c r="AQ20" i="3"/>
  <c r="AQ19" i="3"/>
  <c r="AM52" i="32"/>
  <c r="AR4" i="3"/>
  <c r="AR6" i="3"/>
  <c r="AR8" i="3"/>
  <c r="AR10" i="3"/>
  <c r="AR7" i="3"/>
  <c r="AR9" i="3"/>
  <c r="AR5" i="3"/>
  <c r="AN50" i="32"/>
  <c r="AZ18" i="3"/>
  <c r="AZ20" i="3"/>
  <c r="AZ19" i="3"/>
  <c r="AV52" i="32"/>
  <c r="BI5" i="3"/>
  <c r="BI7" i="3"/>
  <c r="BI9" i="3"/>
  <c r="BI4" i="3"/>
  <c r="BI8" i="3"/>
  <c r="BI6" i="3"/>
  <c r="BI10" i="3"/>
  <c r="BE50" i="32"/>
  <c r="BD5" i="3"/>
  <c r="BD7" i="3"/>
  <c r="BD9" i="3"/>
  <c r="BD6" i="3"/>
  <c r="BD10" i="3"/>
  <c r="BD4" i="3"/>
  <c r="BD8" i="3"/>
  <c r="AZ50" i="32"/>
  <c r="BJ5" i="3"/>
  <c r="BJ7" i="3"/>
  <c r="BJ9" i="3"/>
  <c r="BJ4" i="3"/>
  <c r="BJ8" i="3"/>
  <c r="BJ6" i="3"/>
  <c r="BJ10" i="3"/>
  <c r="BF50" i="32"/>
  <c r="AF5" i="3"/>
  <c r="AF7" i="3"/>
  <c r="AF9" i="3"/>
  <c r="AF4" i="3"/>
  <c r="AF8" i="3"/>
  <c r="AF6" i="3"/>
  <c r="AF10" i="3"/>
  <c r="AB50" i="32"/>
  <c r="AE5" i="3"/>
  <c r="AE7" i="3"/>
  <c r="AE9" i="3"/>
  <c r="AE4" i="3"/>
  <c r="AE8" i="3"/>
  <c r="AE6" i="3"/>
  <c r="AE10" i="3"/>
  <c r="AA50" i="32"/>
  <c r="AM19" i="3"/>
  <c r="AM18" i="3"/>
  <c r="AM20" i="3"/>
  <c r="AI52" i="32"/>
  <c r="X19" i="3"/>
  <c r="X20" i="3"/>
  <c r="X18" i="3"/>
  <c r="T52" i="32"/>
  <c r="AR12" i="3"/>
  <c r="AR14" i="3"/>
  <c r="AR16" i="3"/>
  <c r="AR11" i="3"/>
  <c r="AR21" i="3" s="1"/>
  <c r="AR15" i="3"/>
  <c r="AR13" i="3"/>
  <c r="AR17" i="3"/>
  <c r="AN51" i="32"/>
  <c r="P11" i="3"/>
  <c r="P21" i="3" s="1"/>
  <c r="P13" i="3"/>
  <c r="P15" i="3"/>
  <c r="P17" i="3"/>
  <c r="P12" i="3"/>
  <c r="P16" i="3"/>
  <c r="P14" i="3"/>
  <c r="L51" i="32"/>
  <c r="I4" i="3"/>
  <c r="I6" i="3"/>
  <c r="I8" i="3"/>
  <c r="I10" i="3"/>
  <c r="I7" i="3"/>
  <c r="I5" i="3"/>
  <c r="I9" i="3"/>
  <c r="E50" i="32"/>
  <c r="J18" i="3"/>
  <c r="J20" i="3"/>
  <c r="J19" i="3"/>
  <c r="F52" i="32"/>
  <c r="K18" i="3"/>
  <c r="K20" i="3"/>
  <c r="K19" i="3"/>
  <c r="G52" i="32"/>
  <c r="AC5" i="3"/>
  <c r="AC7" i="3"/>
  <c r="AC9" i="3"/>
  <c r="AC4" i="3"/>
  <c r="AC8" i="3"/>
  <c r="AC10" i="3"/>
  <c r="AC6" i="3"/>
  <c r="Y50" i="32"/>
  <c r="AD5" i="3"/>
  <c r="AD7" i="3"/>
  <c r="AD9" i="3"/>
  <c r="AD4" i="3"/>
  <c r="AD8" i="3"/>
  <c r="AD6" i="3"/>
  <c r="AD10" i="3"/>
  <c r="Z50" i="32"/>
  <c r="BL19" i="3"/>
  <c r="BL20" i="3"/>
  <c r="BL18" i="3"/>
  <c r="BH52" i="32"/>
  <c r="AV5" i="3"/>
  <c r="AV7" i="3"/>
  <c r="AV9" i="3"/>
  <c r="AV4" i="3"/>
  <c r="AV8" i="3"/>
  <c r="AV10" i="3"/>
  <c r="AV6" i="3"/>
  <c r="AR50" i="32"/>
  <c r="AY12" i="3"/>
  <c r="AY14" i="3"/>
  <c r="AY15" i="3"/>
  <c r="AY16" i="3"/>
  <c r="AY13" i="3"/>
  <c r="AY11" i="3"/>
  <c r="AY21" i="3" s="1"/>
  <c r="AY17" i="3"/>
  <c r="AU51" i="32"/>
  <c r="O11" i="3"/>
  <c r="O21" i="3" s="1"/>
  <c r="O13" i="3"/>
  <c r="O17" i="3"/>
  <c r="O12" i="3"/>
  <c r="O14" i="3"/>
  <c r="O15" i="3"/>
  <c r="O16" i="3"/>
  <c r="K51" i="32"/>
  <c r="Q4" i="3"/>
  <c r="Q6" i="3"/>
  <c r="Q8" i="3"/>
  <c r="Q10" i="3"/>
  <c r="Q5" i="3"/>
  <c r="Q9" i="3"/>
  <c r="Q7" i="3"/>
  <c r="M50" i="32"/>
  <c r="R18" i="3"/>
  <c r="R20" i="3"/>
  <c r="R19" i="3"/>
  <c r="N52" i="32"/>
  <c r="T4" i="3"/>
  <c r="T6" i="3"/>
  <c r="T8" i="3"/>
  <c r="T10" i="3"/>
  <c r="T5" i="3"/>
  <c r="T9" i="3"/>
  <c r="T7" i="3"/>
  <c r="P50" i="32"/>
  <c r="AT19" i="3"/>
  <c r="AT20" i="3"/>
  <c r="AT18" i="3"/>
  <c r="AP52" i="32"/>
  <c r="BE12" i="3"/>
  <c r="BE14" i="3"/>
  <c r="BE11" i="3"/>
  <c r="BE21" i="3" s="1"/>
  <c r="BE15" i="3"/>
  <c r="BE17" i="3"/>
  <c r="BE13" i="3"/>
  <c r="BE16" i="3"/>
  <c r="BA51" i="32"/>
  <c r="BH12" i="3"/>
  <c r="BH14" i="3"/>
  <c r="BH16" i="3"/>
  <c r="BH11" i="3"/>
  <c r="BH21" i="3" s="1"/>
  <c r="BH17" i="3"/>
  <c r="BH13" i="3"/>
  <c r="BH15" i="3"/>
  <c r="BD51" i="32"/>
  <c r="W11" i="3"/>
  <c r="W21" i="3" s="1"/>
  <c r="W13" i="3"/>
  <c r="W17" i="3"/>
  <c r="W14" i="3"/>
  <c r="W15" i="3"/>
  <c r="W12" i="3"/>
  <c r="W16" i="3"/>
  <c r="S51" i="32"/>
  <c r="Z12" i="3"/>
  <c r="Z14" i="3"/>
  <c r="Z16" i="3"/>
  <c r="Z11" i="3"/>
  <c r="Z21" i="3" s="1"/>
  <c r="Z17" i="3"/>
  <c r="Z13" i="3"/>
  <c r="Z15" i="3"/>
  <c r="V51" i="32"/>
  <c r="Y19" i="3"/>
  <c r="Y20" i="3"/>
  <c r="Y18" i="3"/>
  <c r="U52" i="32"/>
  <c r="Z18" i="3"/>
  <c r="Z20" i="3"/>
  <c r="Z19" i="3"/>
  <c r="V52" i="32"/>
  <c r="AA18" i="3"/>
  <c r="AA20" i="3"/>
  <c r="AA19" i="3"/>
  <c r="W52" i="32"/>
  <c r="AB4" i="3"/>
  <c r="AB6" i="3"/>
  <c r="AB8" i="3"/>
  <c r="AB10" i="3"/>
  <c r="AB7" i="3"/>
  <c r="AB5" i="3"/>
  <c r="AB9" i="3"/>
  <c r="X50" i="32"/>
  <c r="AS5" i="3"/>
  <c r="AS7" i="3"/>
  <c r="AS9" i="3"/>
  <c r="AS4" i="3"/>
  <c r="AS8" i="3"/>
  <c r="AS6" i="3"/>
  <c r="AS10" i="3"/>
  <c r="AO50" i="32"/>
  <c r="AT5" i="3"/>
  <c r="AT7" i="3"/>
  <c r="AT9" i="3"/>
  <c r="AT4" i="3"/>
  <c r="AT8" i="3"/>
  <c r="AT10" i="3"/>
  <c r="AT6" i="3"/>
  <c r="AP50" i="32"/>
  <c r="O5" i="3"/>
  <c r="O7" i="3"/>
  <c r="O9" i="3"/>
  <c r="O4" i="3"/>
  <c r="O8" i="3"/>
  <c r="O10" i="3"/>
  <c r="O6" i="3"/>
  <c r="K50" i="32"/>
  <c r="BD19" i="3"/>
  <c r="BD18" i="3"/>
  <c r="BD20" i="3"/>
  <c r="AZ52" i="32"/>
  <c r="BO12" i="3"/>
  <c r="BO14" i="3"/>
  <c r="BO16" i="3"/>
  <c r="BO13" i="3"/>
  <c r="BO11" i="3"/>
  <c r="BO21" i="3" s="1"/>
  <c r="BO15" i="3"/>
  <c r="BO17" i="3"/>
  <c r="BK51" i="32"/>
  <c r="V11" i="3"/>
  <c r="V21" i="3" s="1"/>
  <c r="V13" i="3"/>
  <c r="V15" i="3"/>
  <c r="V17" i="3"/>
  <c r="V14" i="3"/>
  <c r="V16" i="3"/>
  <c r="V12" i="3"/>
  <c r="R51" i="32"/>
  <c r="AH12" i="3"/>
  <c r="AH14" i="3"/>
  <c r="AH16" i="3"/>
  <c r="AH13" i="3"/>
  <c r="AH17" i="3"/>
  <c r="AH15" i="3"/>
  <c r="AH11" i="3"/>
  <c r="AH21" i="3" s="1"/>
  <c r="AD51" i="32"/>
  <c r="AH4" i="3"/>
  <c r="AH6" i="3"/>
  <c r="AH8" i="3"/>
  <c r="AH10" i="3"/>
  <c r="AH5" i="3"/>
  <c r="AH9" i="3"/>
  <c r="AH7" i="3"/>
  <c r="AD50" i="32"/>
  <c r="AI4" i="3"/>
  <c r="AI6" i="3"/>
  <c r="AI8" i="3"/>
  <c r="AI10" i="3"/>
  <c r="AI5" i="3"/>
  <c r="AI9" i="3"/>
  <c r="AI7" i="3"/>
  <c r="AE50" i="32"/>
  <c r="AJ4" i="3"/>
  <c r="AJ6" i="3"/>
  <c r="AJ8" i="3"/>
  <c r="AJ10" i="3"/>
  <c r="AJ5" i="3"/>
  <c r="AJ9" i="3"/>
  <c r="AJ7" i="3"/>
  <c r="AF50" i="32"/>
  <c r="BA5" i="3"/>
  <c r="BA7" i="3"/>
  <c r="BA9" i="3"/>
  <c r="BA6" i="3"/>
  <c r="BA10" i="3"/>
  <c r="BA4" i="3"/>
  <c r="BA8" i="3"/>
  <c r="AW50" i="32"/>
  <c r="BI18" i="3"/>
  <c r="BI20" i="3"/>
  <c r="BI19" i="3"/>
  <c r="BE52" i="32"/>
  <c r="BJ19" i="3"/>
  <c r="BJ20" i="3"/>
  <c r="BJ18" i="3"/>
  <c r="BF52" i="32"/>
  <c r="AE19" i="3"/>
  <c r="AE20" i="3"/>
  <c r="AE18" i="3"/>
  <c r="AA52" i="32"/>
  <c r="Q12" i="3"/>
  <c r="Q14" i="3"/>
  <c r="Q13" i="3"/>
  <c r="Q17" i="3"/>
  <c r="Q11" i="3"/>
  <c r="Q21" i="3" s="1"/>
  <c r="Q15" i="3"/>
  <c r="Q16" i="3"/>
  <c r="M51" i="32"/>
  <c r="S12" i="3"/>
  <c r="S14" i="3"/>
  <c r="S15" i="3"/>
  <c r="S16" i="3"/>
  <c r="S13" i="3"/>
  <c r="S17" i="3"/>
  <c r="S11" i="3"/>
  <c r="S21" i="3" s="1"/>
  <c r="O51" i="32"/>
  <c r="T12" i="3"/>
  <c r="T14" i="3"/>
  <c r="T15" i="3"/>
  <c r="T16" i="3"/>
  <c r="T13" i="3"/>
  <c r="T11" i="3"/>
  <c r="T21" i="3" s="1"/>
  <c r="T17" i="3"/>
  <c r="P51" i="32"/>
  <c r="AC11" i="3"/>
  <c r="AC21" i="3" s="1"/>
  <c r="AC13" i="3"/>
  <c r="AC15" i="3"/>
  <c r="AC12" i="3"/>
  <c r="AC16" i="3"/>
  <c r="AC14" i="3"/>
  <c r="AC17" i="3"/>
  <c r="Y51" i="32"/>
  <c r="AL11" i="3"/>
  <c r="AL21" i="3" s="1"/>
  <c r="AL13" i="3"/>
  <c r="AL15" i="3"/>
  <c r="AL17" i="3"/>
  <c r="AL14" i="3"/>
  <c r="AL16" i="3"/>
  <c r="AL12" i="3"/>
  <c r="AH51" i="32"/>
  <c r="AU11" i="3"/>
  <c r="AU21" i="3" s="1"/>
  <c r="AU13" i="3"/>
  <c r="AU17" i="3"/>
  <c r="AU15" i="3"/>
  <c r="AU12" i="3"/>
  <c r="AU14" i="3"/>
  <c r="AU16" i="3"/>
  <c r="AQ51" i="32"/>
  <c r="BD11" i="3"/>
  <c r="BD21" i="3" s="1"/>
  <c r="BD13" i="3"/>
  <c r="BD17" i="3"/>
  <c r="BD14" i="3"/>
  <c r="BD15" i="3"/>
  <c r="BD12" i="3"/>
  <c r="BD16" i="3"/>
  <c r="AZ51" i="32"/>
  <c r="BN12" i="3"/>
  <c r="BN14" i="3"/>
  <c r="BN16" i="3"/>
  <c r="BN13" i="3"/>
  <c r="BN15" i="3"/>
  <c r="BN17" i="3"/>
  <c r="BN11" i="3"/>
  <c r="BN21" i="3" s="1"/>
  <c r="BJ51" i="32"/>
  <c r="AW4" i="3"/>
  <c r="AW6" i="3"/>
  <c r="AW8" i="3"/>
  <c r="AW10" i="3"/>
  <c r="AW5" i="3"/>
  <c r="AW9" i="3"/>
  <c r="AW7" i="3"/>
  <c r="AS50" i="32"/>
  <c r="AW19" i="3"/>
  <c r="AW20" i="3"/>
  <c r="AW18" i="3"/>
  <c r="AS52" i="32"/>
  <c r="AX4" i="3"/>
  <c r="AX6" i="3"/>
  <c r="AX8" i="3"/>
  <c r="AX10" i="3"/>
  <c r="AX5" i="3"/>
  <c r="AX9" i="3"/>
  <c r="AX7" i="3"/>
  <c r="AT50" i="32"/>
  <c r="AX18" i="3"/>
  <c r="AX20" i="3"/>
  <c r="AX19" i="3"/>
  <c r="AT52" i="32"/>
  <c r="AY4" i="3"/>
  <c r="AY6" i="3"/>
  <c r="AY8" i="3"/>
  <c r="AY10" i="3"/>
  <c r="AY5" i="3"/>
  <c r="AY9" i="3"/>
  <c r="AY7" i="3"/>
  <c r="AU50" i="32"/>
  <c r="AY18" i="3"/>
  <c r="AY20" i="3"/>
  <c r="AY19" i="3"/>
  <c r="AU52" i="32"/>
  <c r="AZ4" i="3"/>
  <c r="AZ6" i="3"/>
  <c r="AZ8" i="3"/>
  <c r="AZ10" i="3"/>
  <c r="AZ5" i="3"/>
  <c r="AZ9" i="3"/>
  <c r="AZ7" i="3"/>
  <c r="AV50" i="32"/>
  <c r="BH20" i="3"/>
  <c r="BH18" i="3"/>
  <c r="BH19" i="3"/>
  <c r="BD52" i="32"/>
  <c r="M18" i="3"/>
  <c r="M20" i="3"/>
  <c r="M19" i="3"/>
  <c r="I52" i="32"/>
  <c r="BP3" i="3"/>
  <c r="BL54" i="32"/>
  <c r="N19" i="3"/>
  <c r="N18" i="3"/>
  <c r="N20" i="3"/>
  <c r="J52" i="32"/>
  <c r="AN5" i="3"/>
  <c r="AN7" i="3"/>
  <c r="AN9" i="3"/>
  <c r="AN6" i="3"/>
  <c r="AN10" i="3"/>
  <c r="AN8" i="3"/>
  <c r="AN4" i="3"/>
  <c r="AJ50" i="32"/>
  <c r="AM5" i="3"/>
  <c r="AM7" i="3"/>
  <c r="AM9" i="3"/>
  <c r="AM6" i="3"/>
  <c r="AM10" i="3"/>
  <c r="AM4" i="3"/>
  <c r="AM8" i="3"/>
  <c r="AI50" i="32"/>
  <c r="AU19" i="3"/>
  <c r="AU20" i="3"/>
  <c r="AU18" i="3"/>
  <c r="AQ52" i="32"/>
  <c r="AF19" i="3"/>
  <c r="AF18" i="3"/>
  <c r="AF20" i="3"/>
  <c r="AB52" i="32"/>
  <c r="AQ12" i="3"/>
  <c r="AQ14" i="3"/>
  <c r="AQ16" i="3"/>
  <c r="AQ11" i="3"/>
  <c r="AQ21" i="3" s="1"/>
  <c r="AQ15" i="3"/>
  <c r="AQ13" i="3"/>
  <c r="AQ17" i="3"/>
  <c r="AM51" i="32"/>
  <c r="BJ11" i="3"/>
  <c r="BJ21" i="3" s="1"/>
  <c r="BJ13" i="3"/>
  <c r="BJ15" i="3"/>
  <c r="BJ17" i="3"/>
  <c r="BJ12" i="3"/>
  <c r="BJ16" i="3"/>
  <c r="BJ14" i="3"/>
  <c r="BF51" i="32"/>
  <c r="I19" i="3"/>
  <c r="I20" i="3"/>
  <c r="I18" i="3"/>
  <c r="E52" i="32"/>
  <c r="AZ12" i="3"/>
  <c r="AZ14" i="3"/>
  <c r="AZ15" i="3"/>
  <c r="AZ16" i="3"/>
  <c r="AZ13" i="3"/>
  <c r="AZ17" i="3"/>
  <c r="AZ11" i="3"/>
  <c r="AZ21" i="3" s="1"/>
  <c r="AV51" i="32"/>
  <c r="R12" i="3"/>
  <c r="R14" i="3"/>
  <c r="R15" i="3"/>
  <c r="R16" i="3"/>
  <c r="R13" i="3"/>
  <c r="R17" i="3"/>
  <c r="R11" i="3"/>
  <c r="R21" i="3" s="1"/>
  <c r="N51" i="32"/>
  <c r="R4" i="3"/>
  <c r="R6" i="3"/>
  <c r="R8" i="3"/>
  <c r="R10" i="3"/>
  <c r="R5" i="3"/>
  <c r="R9" i="3"/>
  <c r="R7" i="3"/>
  <c r="N50" i="32"/>
  <c r="S18" i="3"/>
  <c r="S20" i="3"/>
  <c r="S19" i="3"/>
  <c r="O52" i="32"/>
  <c r="AB20" i="3"/>
  <c r="AB18" i="3"/>
  <c r="AB19" i="3"/>
  <c r="X52" i="32"/>
  <c r="AS18" i="3"/>
  <c r="AS20" i="3"/>
  <c r="AS19" i="3"/>
  <c r="AO52" i="32"/>
  <c r="AN19" i="3"/>
  <c r="AN20" i="3"/>
  <c r="AN18" i="3"/>
  <c r="AJ52" i="32"/>
  <c r="Y12" i="3"/>
  <c r="Y14" i="3"/>
  <c r="Y11" i="3"/>
  <c r="Y21" i="3" s="1"/>
  <c r="Y17" i="3"/>
  <c r="Y13" i="3"/>
  <c r="Y15" i="3"/>
  <c r="Y16" i="3"/>
  <c r="U51" i="32"/>
  <c r="AA12" i="3"/>
  <c r="AA14" i="3"/>
  <c r="AA16" i="3"/>
  <c r="AA11" i="3"/>
  <c r="AA21" i="3" s="1"/>
  <c r="AA13" i="3"/>
  <c r="AA15" i="3"/>
  <c r="AA17" i="3"/>
  <c r="W51" i="32"/>
  <c r="AB12" i="3"/>
  <c r="AB14" i="3"/>
  <c r="AB16" i="3"/>
  <c r="AB11" i="3"/>
  <c r="AB21" i="3" s="1"/>
  <c r="AB13" i="3"/>
  <c r="AB15" i="3"/>
  <c r="AB17" i="3"/>
  <c r="X51" i="32"/>
  <c r="AK11" i="3"/>
  <c r="AK21" i="3" s="1"/>
  <c r="AK13" i="3"/>
  <c r="AK15" i="3"/>
  <c r="AK14" i="3"/>
  <c r="AK16" i="3"/>
  <c r="AK12" i="3"/>
  <c r="AK17" i="3"/>
  <c r="AG51" i="32"/>
  <c r="AT11" i="3"/>
  <c r="AT21" i="3" s="1"/>
  <c r="AT13" i="3"/>
  <c r="AT15" i="3"/>
  <c r="AT17" i="3"/>
  <c r="AT12" i="3"/>
  <c r="AT16" i="3"/>
  <c r="AT14" i="3"/>
  <c r="AP51" i="32"/>
  <c r="BC11" i="3"/>
  <c r="BC21" i="3" s="1"/>
  <c r="BC13" i="3"/>
  <c r="BC17" i="3"/>
  <c r="BC14" i="3"/>
  <c r="BC15" i="3"/>
  <c r="BC16" i="3"/>
  <c r="BC12" i="3"/>
  <c r="AY51" i="32"/>
  <c r="BL11" i="3"/>
  <c r="BL21" i="3" s="1"/>
  <c r="BL13" i="3"/>
  <c r="BL14" i="3"/>
  <c r="BL15" i="3"/>
  <c r="BL17" i="3"/>
  <c r="BL12" i="3"/>
  <c r="BL16" i="3"/>
  <c r="BH51" i="32"/>
  <c r="BF12" i="3"/>
  <c r="BF14" i="3"/>
  <c r="BF16" i="3"/>
  <c r="BF11" i="3"/>
  <c r="BF21" i="3" s="1"/>
  <c r="BF17" i="3"/>
  <c r="BF15" i="3"/>
  <c r="BF13" i="3"/>
  <c r="BB51" i="32"/>
  <c r="BE4" i="3"/>
  <c r="BE6" i="3"/>
  <c r="BE8" i="3"/>
  <c r="BE10" i="3"/>
  <c r="BE7" i="3"/>
  <c r="BE5" i="3"/>
  <c r="BE9" i="3"/>
  <c r="BA50" i="32"/>
  <c r="BE19" i="3"/>
  <c r="BE18" i="3"/>
  <c r="BE20" i="3"/>
  <c r="BA52" i="32"/>
  <c r="BF4" i="3"/>
  <c r="BF6" i="3"/>
  <c r="BF8" i="3"/>
  <c r="BF10" i="3"/>
  <c r="BF7" i="3"/>
  <c r="BF5" i="3"/>
  <c r="BF9" i="3"/>
  <c r="BB50" i="32"/>
  <c r="BF18" i="3"/>
  <c r="BF20" i="3"/>
  <c r="BF19" i="3"/>
  <c r="BB52" i="32"/>
  <c r="BG4" i="3"/>
  <c r="BG6" i="3"/>
  <c r="BG8" i="3"/>
  <c r="BG10" i="3"/>
  <c r="BG7" i="3"/>
  <c r="BG9" i="3"/>
  <c r="BG5" i="3"/>
  <c r="BC50" i="32"/>
  <c r="BG18" i="3"/>
  <c r="BG20" i="3"/>
  <c r="BG19" i="3"/>
  <c r="BC52" i="32"/>
  <c r="BH4" i="3"/>
  <c r="BH6" i="3"/>
  <c r="BH8" i="3"/>
  <c r="BH10" i="3"/>
  <c r="BH7" i="3"/>
  <c r="BH5" i="3"/>
  <c r="BH9" i="3"/>
  <c r="BD50" i="32"/>
  <c r="M5" i="3"/>
  <c r="M7" i="3"/>
  <c r="M9" i="3"/>
  <c r="M4" i="3"/>
  <c r="M8" i="3"/>
  <c r="M6" i="3"/>
  <c r="M10" i="3"/>
  <c r="I50" i="32"/>
  <c r="U18" i="3"/>
  <c r="U20" i="3"/>
  <c r="U19" i="3"/>
  <c r="Q52" i="32"/>
  <c r="N5" i="3"/>
  <c r="N7" i="3"/>
  <c r="N9" i="3"/>
  <c r="N4" i="3"/>
  <c r="N8" i="3"/>
  <c r="N10" i="3"/>
  <c r="N6" i="3"/>
  <c r="J50" i="32"/>
  <c r="V19" i="3"/>
  <c r="V18" i="3"/>
  <c r="V20" i="3"/>
  <c r="R52" i="32"/>
  <c r="BL5" i="3"/>
  <c r="BL7" i="3"/>
  <c r="BL9" i="3"/>
  <c r="BL4" i="3"/>
  <c r="BL8" i="3"/>
  <c r="BL6" i="3"/>
  <c r="BL10" i="3"/>
  <c r="BH50" i="32"/>
  <c r="AU5" i="3"/>
  <c r="AU7" i="3"/>
  <c r="AU9" i="3"/>
  <c r="AU4" i="3"/>
  <c r="AU8" i="3"/>
  <c r="AU10" i="3"/>
  <c r="AU6" i="3"/>
  <c r="AQ50" i="32"/>
  <c r="BC19" i="3"/>
  <c r="BC20" i="3"/>
  <c r="BC18" i="3"/>
  <c r="AY52" i="32"/>
  <c r="X5" i="3"/>
  <c r="X7" i="3"/>
  <c r="X9" i="3"/>
  <c r="X6" i="3"/>
  <c r="X10" i="3"/>
  <c r="X4" i="3"/>
  <c r="X8" i="3"/>
  <c r="T50" i="32"/>
  <c r="AG12" i="3"/>
  <c r="AG14" i="3"/>
  <c r="AG13" i="3"/>
  <c r="AG15" i="3"/>
  <c r="AG17" i="3"/>
  <c r="AG11" i="3"/>
  <c r="AG21" i="3" s="1"/>
  <c r="AG16" i="3"/>
  <c r="AC51" i="32"/>
  <c r="AI12" i="3"/>
  <c r="AI14" i="3"/>
  <c r="AI16" i="3"/>
  <c r="AI13" i="3"/>
  <c r="AI15" i="3"/>
  <c r="AI11" i="3"/>
  <c r="AI21" i="3" s="1"/>
  <c r="AI17" i="3"/>
  <c r="AE51" i="32"/>
  <c r="AJ12" i="3"/>
  <c r="AJ14" i="3"/>
  <c r="AJ16" i="3"/>
  <c r="AJ13" i="3"/>
  <c r="AJ15" i="3"/>
  <c r="AJ11" i="3"/>
  <c r="AJ21" i="3" s="1"/>
  <c r="AJ17" i="3"/>
  <c r="AF51" i="32"/>
  <c r="AS11" i="3"/>
  <c r="AS21" i="3" s="1"/>
  <c r="AS13" i="3"/>
  <c r="AS15" i="3"/>
  <c r="AS12" i="3"/>
  <c r="AS16" i="3"/>
  <c r="AS14" i="3"/>
  <c r="AS17" i="3"/>
  <c r="AO51" i="32"/>
  <c r="BB11" i="3"/>
  <c r="BB21" i="3" s="1"/>
  <c r="BB13" i="3"/>
  <c r="BB15" i="3"/>
  <c r="BB17" i="3"/>
  <c r="BB14" i="3"/>
  <c r="BB16" i="3"/>
  <c r="BB12" i="3"/>
  <c r="AX51" i="32"/>
  <c r="BK11" i="3"/>
  <c r="BK21" i="3" s="1"/>
  <c r="BK13" i="3"/>
  <c r="BK15" i="3"/>
  <c r="BK17" i="3"/>
  <c r="BK12" i="3"/>
  <c r="BK14" i="3"/>
  <c r="BK16" i="3"/>
  <c r="BG51" i="32"/>
  <c r="J12" i="3"/>
  <c r="J14" i="3"/>
  <c r="J16" i="3"/>
  <c r="J11" i="3"/>
  <c r="J21" i="3" s="1"/>
  <c r="J17" i="3"/>
  <c r="J15" i="3"/>
  <c r="J13" i="3"/>
  <c r="F51" i="32"/>
  <c r="BP12" i="3"/>
  <c r="BP14" i="3"/>
  <c r="BP16" i="3"/>
  <c r="BP13" i="3"/>
  <c r="BP17" i="3"/>
  <c r="BP11" i="3"/>
  <c r="BP21" i="3" s="1"/>
  <c r="BP15" i="3"/>
  <c r="BL51" i="32"/>
  <c r="BM4" i="3"/>
  <c r="BM6" i="3"/>
  <c r="BM8" i="3"/>
  <c r="BM10" i="3"/>
  <c r="BM5" i="3"/>
  <c r="BM9" i="3"/>
  <c r="BM7" i="3"/>
  <c r="BI50" i="32"/>
  <c r="BM19" i="3"/>
  <c r="BM20" i="3"/>
  <c r="BM18" i="3"/>
  <c r="BI52" i="32"/>
  <c r="BN4" i="3"/>
  <c r="BN6" i="3"/>
  <c r="BN8" i="3"/>
  <c r="BN10" i="3"/>
  <c r="BN5" i="3"/>
  <c r="BN9" i="3"/>
  <c r="BN7" i="3"/>
  <c r="BJ50" i="32"/>
  <c r="BN18" i="3"/>
  <c r="BN20" i="3"/>
  <c r="BN19" i="3"/>
  <c r="BJ52" i="32"/>
  <c r="BO4" i="3"/>
  <c r="BO6" i="3"/>
  <c r="BO8" i="3"/>
  <c r="BO10" i="3"/>
  <c r="BO5" i="3"/>
  <c r="BO9" i="3"/>
  <c r="BO7" i="3"/>
  <c r="BK50" i="32"/>
  <c r="BO18" i="3"/>
  <c r="BO20" i="3"/>
  <c r="BO19" i="3"/>
  <c r="BK52" i="32"/>
  <c r="L18" i="3"/>
  <c r="L20" i="3"/>
  <c r="L19" i="3"/>
  <c r="H52" i="32"/>
  <c r="U5" i="3"/>
  <c r="U7" i="3"/>
  <c r="U9" i="3"/>
  <c r="U6" i="3"/>
  <c r="U10" i="3"/>
  <c r="U4" i="3"/>
  <c r="U8" i="3"/>
  <c r="Q50" i="32"/>
  <c r="AC18" i="3"/>
  <c r="AC20" i="3"/>
  <c r="AC19" i="3"/>
  <c r="Y52" i="32"/>
  <c r="V5" i="3"/>
  <c r="V7" i="3"/>
  <c r="V9" i="3"/>
  <c r="V6" i="3"/>
  <c r="V10" i="3"/>
  <c r="V4" i="3"/>
  <c r="V8" i="3"/>
  <c r="R50" i="32"/>
  <c r="AD19" i="3"/>
  <c r="AD18" i="3"/>
  <c r="AD20" i="3"/>
  <c r="Z52" i="32"/>
  <c r="AV19" i="3"/>
  <c r="AV20" i="3"/>
  <c r="AV18" i="3"/>
  <c r="AR52" i="32"/>
  <c r="BC5" i="3"/>
  <c r="BC7" i="3"/>
  <c r="BC9" i="3"/>
  <c r="BC10" i="3"/>
  <c r="BC6" i="3"/>
  <c r="BC8" i="3"/>
  <c r="BC4" i="3"/>
  <c r="AY50" i="32"/>
  <c r="BK19" i="3"/>
  <c r="BK18" i="3"/>
  <c r="BK20" i="3"/>
  <c r="BG52" i="32"/>
  <c r="P5" i="3"/>
  <c r="P7" i="3"/>
  <c r="P9" i="3"/>
  <c r="P4" i="3"/>
  <c r="P8" i="3"/>
  <c r="P10" i="3"/>
  <c r="P6" i="3"/>
  <c r="L50" i="32"/>
  <c r="BG205" i="30"/>
  <c r="AA205" i="30"/>
  <c r="S205" i="30"/>
  <c r="AG205" i="30"/>
  <c r="AQ205" i="30"/>
  <c r="N205" i="30"/>
  <c r="AU205" i="30"/>
  <c r="AV71" i="32"/>
  <c r="AV60" i="32" s="1"/>
  <c r="AV46" i="32" s="1"/>
  <c r="AH205" i="30"/>
  <c r="O205" i="30"/>
  <c r="AV205" i="30"/>
  <c r="X205" i="30"/>
  <c r="AJ211" i="30"/>
  <c r="BB205" i="30"/>
  <c r="W205" i="30"/>
  <c r="AT205" i="30"/>
  <c r="V205" i="30"/>
  <c r="AP205" i="30"/>
  <c r="BC205" i="30"/>
  <c r="AF71" i="32"/>
  <c r="AF60" i="32" s="1"/>
  <c r="AF46" i="32" s="1"/>
  <c r="AW205" i="30"/>
  <c r="AD205" i="30"/>
  <c r="BJ205" i="30"/>
  <c r="AO205" i="30"/>
  <c r="H61" i="32"/>
  <c r="H47" i="32" s="1"/>
  <c r="G72" i="32"/>
  <c r="AZ71" i="32"/>
  <c r="AZ60" i="32" s="1"/>
  <c r="AZ46" i="32" s="1"/>
  <c r="AR71" i="32"/>
  <c r="AR60" i="32" s="1"/>
  <c r="AR46" i="32" s="1"/>
  <c r="AO71" i="32"/>
  <c r="AO60" i="32" s="1"/>
  <c r="AO46" i="32" s="1"/>
  <c r="AE71" i="32"/>
  <c r="AE60" i="32" s="1"/>
  <c r="AE46" i="32" s="1"/>
  <c r="P71" i="32"/>
  <c r="P60" i="32" s="1"/>
  <c r="P46" i="32" s="1"/>
  <c r="AJ71" i="32"/>
  <c r="AJ60" i="32" s="1"/>
  <c r="AJ46" i="32" s="1"/>
  <c r="AN71" i="32"/>
  <c r="AN60" i="32" s="1"/>
  <c r="AN46" i="32" s="1"/>
  <c r="X71" i="32"/>
  <c r="X60" i="32" s="1"/>
  <c r="X46" i="32" s="1"/>
  <c r="AP71" i="32"/>
  <c r="AP60" i="32" s="1"/>
  <c r="AP46" i="32" s="1"/>
  <c r="BG71" i="32"/>
  <c r="BG60" i="32" s="1"/>
  <c r="BG46" i="32" s="1"/>
  <c r="AQ71" i="32"/>
  <c r="AQ60" i="32" s="1"/>
  <c r="AQ46" i="32" s="1"/>
  <c r="BE71" i="32"/>
  <c r="BE60" i="32" s="1"/>
  <c r="BE46" i="32" s="1"/>
  <c r="Y71" i="32"/>
  <c r="Y60" i="32" s="1"/>
  <c r="Y46" i="32" s="1"/>
  <c r="AA71" i="32"/>
  <c r="AA60" i="32" s="1"/>
  <c r="AA46" i="32" s="1"/>
  <c r="BD71" i="32"/>
  <c r="BD60" i="32" s="1"/>
  <c r="BD46" i="32" s="1"/>
  <c r="AB71" i="32"/>
  <c r="AB60" i="32" s="1"/>
  <c r="AB46" i="32" s="1"/>
  <c r="T71" i="32"/>
  <c r="T60" i="32" s="1"/>
  <c r="T46" i="32" s="1"/>
  <c r="S71" i="32"/>
  <c r="S60" i="32" s="1"/>
  <c r="S46" i="32" s="1"/>
  <c r="AW71" i="32"/>
  <c r="AW60" i="32" s="1"/>
  <c r="AW46" i="32" s="1"/>
  <c r="AM71" i="32"/>
  <c r="AM60" i="32" s="1"/>
  <c r="AM46" i="32" s="1"/>
  <c r="Q71" i="32"/>
  <c r="Q60" i="32" s="1"/>
  <c r="Q46" i="32" s="1"/>
  <c r="AX71" i="32"/>
  <c r="AX60" i="32" s="1"/>
  <c r="AX46" i="32" s="1"/>
  <c r="R71" i="32"/>
  <c r="R60" i="32" s="1"/>
  <c r="R46" i="32" s="1"/>
  <c r="BF71" i="32"/>
  <c r="BF60" i="32" s="1"/>
  <c r="BF46" i="32" s="1"/>
  <c r="Z71" i="32"/>
  <c r="Z60" i="32" s="1"/>
  <c r="Z46" i="32" s="1"/>
  <c r="AY71" i="32"/>
  <c r="AY60" i="32" s="1"/>
  <c r="AY46" i="32" s="1"/>
  <c r="AI71" i="32"/>
  <c r="AI60" i="32" s="1"/>
  <c r="AI46" i="32" s="1"/>
  <c r="AH71" i="32"/>
  <c r="AH60" i="32" s="1"/>
  <c r="AH46" i="32" s="1"/>
  <c r="BC71" i="32"/>
  <c r="BC60" i="32" s="1"/>
  <c r="BC46" i="32" s="1"/>
  <c r="AG71" i="32"/>
  <c r="AG60" i="32" s="1"/>
  <c r="AG46" i="32" s="1"/>
  <c r="W71" i="32"/>
  <c r="W60" i="32" s="1"/>
  <c r="W46" i="32" s="1"/>
  <c r="BJ71" i="32"/>
  <c r="BB71" i="32"/>
  <c r="BB60" i="32" s="1"/>
  <c r="BB46" i="32" s="1"/>
  <c r="AT71" i="32"/>
  <c r="AT60" i="32" s="1"/>
  <c r="AT46" i="32" s="1"/>
  <c r="AL71" i="32"/>
  <c r="AL60" i="32" s="1"/>
  <c r="AL46" i="32" s="1"/>
  <c r="AD71" i="32"/>
  <c r="AD60" i="32" s="1"/>
  <c r="AD46" i="32" s="1"/>
  <c r="V71" i="32"/>
  <c r="V60" i="32" s="1"/>
  <c r="V46" i="32" s="1"/>
  <c r="AU71" i="32"/>
  <c r="AU60" i="32" s="1"/>
  <c r="AU46" i="32" s="1"/>
  <c r="BI71" i="32"/>
  <c r="BI60" i="32" s="1"/>
  <c r="BI46" i="32" s="1"/>
  <c r="BA71" i="32"/>
  <c r="BA60" i="32" s="1"/>
  <c r="BA46" i="32" s="1"/>
  <c r="AS71" i="32"/>
  <c r="AS60" i="32" s="1"/>
  <c r="AS46" i="32" s="1"/>
  <c r="AK71" i="32"/>
  <c r="AK60" i="32" s="1"/>
  <c r="AK46" i="32" s="1"/>
  <c r="AC71" i="32"/>
  <c r="AC60" i="32" s="1"/>
  <c r="AC46" i="32" s="1"/>
  <c r="U71" i="32"/>
  <c r="U60" i="32" s="1"/>
  <c r="U46" i="32" s="1"/>
  <c r="C34" i="12"/>
  <c r="D34" i="12"/>
  <c r="E34" i="12"/>
  <c r="C35" i="12"/>
  <c r="D35" i="12"/>
  <c r="E35" i="12"/>
  <c r="C36" i="12"/>
  <c r="D36" i="12"/>
  <c r="E36" i="12"/>
  <c r="C37" i="12"/>
  <c r="D37" i="12"/>
  <c r="E37" i="12"/>
  <c r="C38" i="12"/>
  <c r="D38" i="12"/>
  <c r="E38" i="12"/>
  <c r="C39" i="12"/>
  <c r="D39" i="12"/>
  <c r="E39" i="12"/>
  <c r="C40" i="12"/>
  <c r="D40" i="12"/>
  <c r="E40" i="12"/>
  <c r="C41" i="12"/>
  <c r="D41" i="12"/>
  <c r="E41" i="12"/>
  <c r="C42" i="12"/>
  <c r="D42" i="12"/>
  <c r="E42" i="12"/>
  <c r="C43" i="12"/>
  <c r="D43" i="12"/>
  <c r="E43" i="12"/>
  <c r="C44" i="12"/>
  <c r="D44" i="12"/>
  <c r="E44" i="12"/>
  <c r="C45" i="12"/>
  <c r="D45" i="12"/>
  <c r="E45" i="12"/>
  <c r="C46" i="12"/>
  <c r="D46" i="12"/>
  <c r="E46" i="12"/>
  <c r="C47" i="12"/>
  <c r="D47" i="12"/>
  <c r="E47" i="12"/>
  <c r="C48" i="12"/>
  <c r="D48" i="12"/>
  <c r="E48" i="12"/>
  <c r="C49" i="12"/>
  <c r="D49" i="12"/>
  <c r="E49" i="12"/>
  <c r="C50" i="12"/>
  <c r="D50" i="12"/>
  <c r="E50" i="12"/>
  <c r="C51" i="12"/>
  <c r="D51" i="12"/>
  <c r="E51" i="12"/>
  <c r="C52" i="12"/>
  <c r="D52" i="12"/>
  <c r="E52" i="12"/>
  <c r="D53" i="12"/>
  <c r="E53" i="12"/>
  <c r="C54" i="12"/>
  <c r="D54" i="12"/>
  <c r="E54" i="12"/>
  <c r="D55" i="12"/>
  <c r="E55" i="12"/>
  <c r="C56" i="12"/>
  <c r="D56" i="12"/>
  <c r="E56" i="12"/>
  <c r="C57" i="12"/>
  <c r="D57" i="12"/>
  <c r="E57" i="12"/>
  <c r="B54" i="12"/>
  <c r="B56" i="12"/>
  <c r="B57" i="12"/>
  <c r="B35" i="12"/>
  <c r="B36" i="12"/>
  <c r="B37" i="12"/>
  <c r="B38" i="12"/>
  <c r="B39" i="12"/>
  <c r="B40" i="12"/>
  <c r="B41" i="12"/>
  <c r="B42" i="12"/>
  <c r="B43" i="12"/>
  <c r="B44" i="12"/>
  <c r="B45" i="12"/>
  <c r="B46" i="12"/>
  <c r="B47" i="12"/>
  <c r="B48" i="12"/>
  <c r="B49" i="12"/>
  <c r="B50" i="12"/>
  <c r="B51" i="12"/>
  <c r="B52" i="12"/>
  <c r="B34" i="12"/>
  <c r="AU84" i="32"/>
  <c r="AU78" i="32" s="1"/>
  <c r="AV84" i="32"/>
  <c r="AV78" i="32" s="1"/>
  <c r="AW84" i="32"/>
  <c r="AW78" i="32" s="1"/>
  <c r="BC84" i="32"/>
  <c r="BC78" i="32" s="1"/>
  <c r="BD84" i="32"/>
  <c r="BD78" i="32" s="1"/>
  <c r="BE84" i="32"/>
  <c r="BE78" i="32" s="1"/>
  <c r="G162" i="35"/>
  <c r="F162" i="35"/>
  <c r="E162" i="35"/>
  <c r="D162" i="35"/>
  <c r="C162" i="35"/>
  <c r="B162" i="35"/>
  <c r="G161" i="35"/>
  <c r="F161" i="35"/>
  <c r="E161" i="35"/>
  <c r="D161" i="35"/>
  <c r="C161" i="35"/>
  <c r="B161" i="35"/>
  <c r="E154" i="35"/>
  <c r="D154" i="35"/>
  <c r="C154" i="35"/>
  <c r="B154" i="35"/>
  <c r="Q152" i="35"/>
  <c r="P152" i="35"/>
  <c r="O152" i="35"/>
  <c r="N152" i="35"/>
  <c r="M152" i="35"/>
  <c r="L152" i="35"/>
  <c r="K152" i="35"/>
  <c r="J152" i="35"/>
  <c r="I152" i="35"/>
  <c r="H152" i="35"/>
  <c r="G152" i="35"/>
  <c r="F152" i="35"/>
  <c r="E152" i="35"/>
  <c r="D152" i="35"/>
  <c r="C152" i="35"/>
  <c r="B152" i="35"/>
  <c r="G150" i="35"/>
  <c r="F150" i="35"/>
  <c r="E150" i="35"/>
  <c r="D150" i="35"/>
  <c r="C150" i="35"/>
  <c r="B150" i="35"/>
  <c r="N149" i="35"/>
  <c r="M149" i="35"/>
  <c r="L149" i="35"/>
  <c r="K149" i="35"/>
  <c r="J149" i="35"/>
  <c r="I149" i="35"/>
  <c r="H149" i="35"/>
  <c r="G149" i="35"/>
  <c r="F149" i="35"/>
  <c r="E149" i="35"/>
  <c r="D149" i="35"/>
  <c r="C149" i="35"/>
  <c r="B149" i="35"/>
  <c r="F148" i="35"/>
  <c r="E148" i="35"/>
  <c r="D148" i="35"/>
  <c r="C148" i="35"/>
  <c r="B148" i="35"/>
  <c r="Q52" i="35"/>
  <c r="P52" i="35"/>
  <c r="O52" i="35"/>
  <c r="N52" i="35"/>
  <c r="M52" i="35"/>
  <c r="L52" i="35"/>
  <c r="K52" i="35"/>
  <c r="J52" i="35"/>
  <c r="I52" i="35"/>
  <c r="H52" i="35"/>
  <c r="G52" i="35"/>
  <c r="F52" i="35"/>
  <c r="E52" i="35"/>
  <c r="D52" i="35"/>
  <c r="C52" i="35"/>
  <c r="B52" i="35"/>
  <c r="Q43" i="35"/>
  <c r="Q42" i="35" s="1"/>
  <c r="P43" i="35"/>
  <c r="O43" i="35"/>
  <c r="N43" i="35"/>
  <c r="M43" i="35"/>
  <c r="L43" i="35"/>
  <c r="K43" i="35"/>
  <c r="BA84" i="32" s="1"/>
  <c r="BA78" i="32" s="1"/>
  <c r="J43" i="35"/>
  <c r="AZ84" i="32" s="1"/>
  <c r="AZ78" i="32" s="1"/>
  <c r="I43" i="35"/>
  <c r="H43" i="35"/>
  <c r="AX84" i="32" s="1"/>
  <c r="AX78" i="32" s="1"/>
  <c r="G43" i="35"/>
  <c r="F43" i="35"/>
  <c r="E43" i="35"/>
  <c r="D43" i="35"/>
  <c r="C43" i="35"/>
  <c r="AS84" i="32" s="1"/>
  <c r="AS78" i="32" s="1"/>
  <c r="B43" i="35"/>
  <c r="AR84" i="32" s="1"/>
  <c r="AR78" i="32" s="1"/>
  <c r="P42" i="35"/>
  <c r="O42" i="35"/>
  <c r="N42" i="35"/>
  <c r="M42" i="35"/>
  <c r="L42" i="35"/>
  <c r="K42" i="35"/>
  <c r="I42" i="35"/>
  <c r="G42" i="35"/>
  <c r="F42" i="35"/>
  <c r="E42" i="35"/>
  <c r="D42" i="35"/>
  <c r="C42" i="35"/>
  <c r="Q33" i="35"/>
  <c r="P33" i="35"/>
  <c r="O33" i="35"/>
  <c r="N33" i="35"/>
  <c r="M33" i="35"/>
  <c r="L33" i="35"/>
  <c r="K33" i="35"/>
  <c r="K18" i="35" s="1"/>
  <c r="J33" i="35"/>
  <c r="I33" i="35"/>
  <c r="H33" i="35"/>
  <c r="G33" i="35"/>
  <c r="F33" i="35"/>
  <c r="E33" i="35"/>
  <c r="D33" i="35"/>
  <c r="C33" i="35"/>
  <c r="B33" i="35"/>
  <c r="Q21" i="35"/>
  <c r="P21" i="35"/>
  <c r="O21" i="35"/>
  <c r="N21" i="35"/>
  <c r="M21" i="35"/>
  <c r="L21" i="35"/>
  <c r="K21" i="35"/>
  <c r="J21" i="35"/>
  <c r="I21" i="35"/>
  <c r="H21" i="35"/>
  <c r="H18" i="35" s="1"/>
  <c r="G21" i="35"/>
  <c r="F21" i="35"/>
  <c r="E21" i="35"/>
  <c r="D21" i="35"/>
  <c r="C21" i="35"/>
  <c r="B21" i="35"/>
  <c r="P18" i="35"/>
  <c r="P17" i="35" s="1"/>
  <c r="P166" i="35" s="1"/>
  <c r="O18" i="35"/>
  <c r="N18" i="35"/>
  <c r="M18" i="35"/>
  <c r="L18" i="35"/>
  <c r="J18" i="35"/>
  <c r="I18" i="35"/>
  <c r="G18" i="35"/>
  <c r="F18" i="35"/>
  <c r="E18" i="35"/>
  <c r="D18" i="35"/>
  <c r="C18" i="35"/>
  <c r="C17" i="35" s="1"/>
  <c r="C166" i="35" s="1"/>
  <c r="B18" i="35"/>
  <c r="O17" i="35"/>
  <c r="O166" i="35" s="1"/>
  <c r="N17" i="35"/>
  <c r="N166" i="35" s="1"/>
  <c r="M17" i="35"/>
  <c r="M166" i="35" s="1"/>
  <c r="L17" i="35"/>
  <c r="L166" i="35" s="1"/>
  <c r="G17" i="35"/>
  <c r="G166" i="35" s="1"/>
  <c r="F17" i="35"/>
  <c r="F166" i="35" s="1"/>
  <c r="E17" i="35"/>
  <c r="E166" i="35" s="1"/>
  <c r="D17" i="35"/>
  <c r="D166" i="35" s="1"/>
  <c r="Q10" i="35"/>
  <c r="P10" i="35"/>
  <c r="O10" i="35"/>
  <c r="N10" i="35"/>
  <c r="M10" i="35"/>
  <c r="L10" i="35"/>
  <c r="K10" i="35"/>
  <c r="J10" i="35"/>
  <c r="I10" i="35"/>
  <c r="H10" i="35"/>
  <c r="G10" i="35"/>
  <c r="F10" i="35"/>
  <c r="E10" i="35"/>
  <c r="D10" i="35"/>
  <c r="C10" i="35"/>
  <c r="B10" i="35"/>
  <c r="Q5" i="35"/>
  <c r="P5" i="35"/>
  <c r="O5" i="35"/>
  <c r="N5" i="35"/>
  <c r="M5" i="35"/>
  <c r="L5" i="35"/>
  <c r="K5" i="35"/>
  <c r="K4" i="35" s="1"/>
  <c r="J5" i="35"/>
  <c r="I5" i="35"/>
  <c r="H5" i="35"/>
  <c r="G5" i="35"/>
  <c r="F5" i="35"/>
  <c r="E5" i="35"/>
  <c r="E4" i="35" s="1"/>
  <c r="D5" i="35"/>
  <c r="D4" i="35" s="1"/>
  <c r="C5" i="35"/>
  <c r="B5" i="35"/>
  <c r="B4" i="35" s="1"/>
  <c r="Q4" i="35"/>
  <c r="P4" i="35"/>
  <c r="O4" i="35"/>
  <c r="N4" i="35"/>
  <c r="M4" i="35"/>
  <c r="L4" i="35"/>
  <c r="J4" i="35"/>
  <c r="I4" i="35"/>
  <c r="H4" i="35"/>
  <c r="G4" i="35"/>
  <c r="F4" i="35"/>
  <c r="C4" i="35"/>
  <c r="K17" i="35" l="1"/>
  <c r="K166" i="35" s="1"/>
  <c r="P144" i="35"/>
  <c r="H42" i="35"/>
  <c r="P164" i="35"/>
  <c r="BG2" i="3"/>
  <c r="BC53" i="32"/>
  <c r="I142" i="35"/>
  <c r="AL2" i="3"/>
  <c r="AH53" i="32"/>
  <c r="P158" i="35"/>
  <c r="BF84" i="32"/>
  <c r="BF78" i="32" s="1"/>
  <c r="Z2" i="3"/>
  <c r="V53" i="32"/>
  <c r="AI2" i="3"/>
  <c r="AE53" i="32"/>
  <c r="B142" i="35"/>
  <c r="AM2" i="3"/>
  <c r="AI53" i="32"/>
  <c r="C151" i="35"/>
  <c r="K157" i="35"/>
  <c r="K164" i="35"/>
  <c r="AV2" i="3"/>
  <c r="AR53" i="32"/>
  <c r="D142" i="35"/>
  <c r="L142" i="35"/>
  <c r="D144" i="35"/>
  <c r="L144" i="35"/>
  <c r="D151" i="35"/>
  <c r="L151" i="35"/>
  <c r="D157" i="35"/>
  <c r="L157" i="35"/>
  <c r="D158" i="35"/>
  <c r="L158" i="35"/>
  <c r="D164" i="35"/>
  <c r="L164" i="35"/>
  <c r="BB84" i="32"/>
  <c r="BB78" i="32" s="1"/>
  <c r="AT84" i="32"/>
  <c r="AT78" i="32" s="1"/>
  <c r="AW2" i="3"/>
  <c r="AS53" i="32"/>
  <c r="BF2" i="3"/>
  <c r="BB53" i="32"/>
  <c r="AD2" i="3"/>
  <c r="Z53" i="32"/>
  <c r="X2" i="3"/>
  <c r="T53" i="32"/>
  <c r="AT2" i="3"/>
  <c r="AP53" i="32"/>
  <c r="BD2" i="3"/>
  <c r="AZ53" i="32"/>
  <c r="P142" i="35"/>
  <c r="U2" i="3"/>
  <c r="Q53" i="32"/>
  <c r="Q18" i="35"/>
  <c r="AQ2" i="3"/>
  <c r="AM53" i="32"/>
  <c r="B42" i="35"/>
  <c r="AP2" i="3"/>
  <c r="AL53" i="32"/>
  <c r="AS2" i="3"/>
  <c r="AO53" i="32"/>
  <c r="K151" i="35"/>
  <c r="C164" i="35"/>
  <c r="BC2" i="3"/>
  <c r="AY53" i="32"/>
  <c r="W2" i="3"/>
  <c r="S53" i="32"/>
  <c r="E142" i="35"/>
  <c r="E144" i="35"/>
  <c r="M144" i="35"/>
  <c r="E151" i="35"/>
  <c r="M151" i="35"/>
  <c r="E157" i="35"/>
  <c r="M157" i="35"/>
  <c r="E158" i="35"/>
  <c r="M158" i="35"/>
  <c r="E164" i="35"/>
  <c r="M164" i="35"/>
  <c r="BE2" i="3"/>
  <c r="BA53" i="32"/>
  <c r="BJ2" i="3"/>
  <c r="BF53" i="32"/>
  <c r="AF2" i="3"/>
  <c r="AB53" i="32"/>
  <c r="AB2" i="3"/>
  <c r="X53" i="32"/>
  <c r="P151" i="35"/>
  <c r="T2" i="3"/>
  <c r="P53" i="32"/>
  <c r="I157" i="35"/>
  <c r="BI2" i="3"/>
  <c r="BE53" i="32"/>
  <c r="B17" i="35"/>
  <c r="J42" i="35"/>
  <c r="J17" i="35" s="1"/>
  <c r="BA2" i="3"/>
  <c r="AW53" i="32"/>
  <c r="C142" i="35"/>
  <c r="K144" i="35"/>
  <c r="C157" i="35"/>
  <c r="K158" i="35"/>
  <c r="AO2" i="3"/>
  <c r="AK53" i="32"/>
  <c r="AJ2" i="3"/>
  <c r="AF53" i="32"/>
  <c r="F142" i="35"/>
  <c r="N142" i="35"/>
  <c r="F144" i="35"/>
  <c r="N144" i="35"/>
  <c r="F151" i="35"/>
  <c r="N151" i="35"/>
  <c r="F157" i="35"/>
  <c r="N157" i="35"/>
  <c r="F158" i="35"/>
  <c r="N158" i="35"/>
  <c r="F164" i="35"/>
  <c r="N164" i="35"/>
  <c r="BM2" i="3"/>
  <c r="BI53" i="32"/>
  <c r="AA2" i="3"/>
  <c r="W53" i="32"/>
  <c r="V2" i="3"/>
  <c r="R53" i="32"/>
  <c r="BH2" i="3"/>
  <c r="BD53" i="32"/>
  <c r="AR2" i="3"/>
  <c r="AN53" i="32"/>
  <c r="L3" i="3"/>
  <c r="H54" i="32"/>
  <c r="P157" i="35"/>
  <c r="AC2" i="3"/>
  <c r="Y53" i="32"/>
  <c r="I17" i="35"/>
  <c r="I166" i="35" s="1"/>
  <c r="I151" i="35"/>
  <c r="I164" i="35"/>
  <c r="Y2" i="3"/>
  <c r="U53" i="32"/>
  <c r="AH2" i="3"/>
  <c r="AD53" i="32"/>
  <c r="J144" i="35"/>
  <c r="AG2" i="3"/>
  <c r="AC53" i="32"/>
  <c r="AU2" i="3"/>
  <c r="AQ53" i="32"/>
  <c r="C144" i="35"/>
  <c r="C158" i="35"/>
  <c r="AX2" i="3"/>
  <c r="AT53" i="32"/>
  <c r="BK2" i="3"/>
  <c r="BG53" i="32"/>
  <c r="G142" i="35"/>
  <c r="O142" i="35"/>
  <c r="G144" i="35"/>
  <c r="O144" i="35"/>
  <c r="G151" i="35"/>
  <c r="O151" i="35"/>
  <c r="G157" i="35"/>
  <c r="O157" i="35"/>
  <c r="G158" i="35"/>
  <c r="O158" i="35"/>
  <c r="G164" i="35"/>
  <c r="O164" i="35"/>
  <c r="BG84" i="32"/>
  <c r="BG78" i="32" s="1"/>
  <c r="AY84" i="32"/>
  <c r="AY78" i="32" s="1"/>
  <c r="AY2" i="3"/>
  <c r="AU53" i="32"/>
  <c r="AK2" i="3"/>
  <c r="AG53" i="32"/>
  <c r="BB2" i="3"/>
  <c r="AX53" i="32"/>
  <c r="AE2" i="3"/>
  <c r="AA53" i="32"/>
  <c r="AN2" i="3"/>
  <c r="AJ53" i="32"/>
  <c r="AZ2" i="3"/>
  <c r="AV53" i="32"/>
  <c r="BH71" i="32"/>
  <c r="BH60" i="32" s="1"/>
  <c r="BH46" i="32" s="1"/>
  <c r="O71" i="32"/>
  <c r="O60" i="32" s="1"/>
  <c r="O46" i="32" s="1"/>
  <c r="F72" i="32"/>
  <c r="G61" i="32"/>
  <c r="G47" i="32" s="1"/>
  <c r="BK71" i="32"/>
  <c r="BJ60" i="32"/>
  <c r="BJ46" i="32" s="1"/>
  <c r="J146" i="35"/>
  <c r="J153" i="35"/>
  <c r="B156" i="35"/>
  <c r="B143" i="35"/>
  <c r="B147" i="35"/>
  <c r="J156" i="35"/>
  <c r="J161" i="35"/>
  <c r="J142" i="35"/>
  <c r="J148" i="35"/>
  <c r="J143" i="35"/>
  <c r="B166" i="35"/>
  <c r="B159" i="35"/>
  <c r="B165" i="35"/>
  <c r="B163" i="35"/>
  <c r="J165" i="35"/>
  <c r="J163" i="35"/>
  <c r="J162" i="35"/>
  <c r="J166" i="35"/>
  <c r="J160" i="35"/>
  <c r="J159" i="35"/>
  <c r="B157" i="35"/>
  <c r="J157" i="35"/>
  <c r="B158" i="35"/>
  <c r="J158" i="35"/>
  <c r="B164" i="35"/>
  <c r="J164" i="35"/>
  <c r="B144" i="35"/>
  <c r="J150" i="35"/>
  <c r="B141" i="35"/>
  <c r="B145" i="35"/>
  <c r="B151" i="35"/>
  <c r="J154" i="35"/>
  <c r="B146" i="35"/>
  <c r="B153" i="35"/>
  <c r="J155" i="35"/>
  <c r="C141" i="35"/>
  <c r="K141" i="35"/>
  <c r="C143" i="35"/>
  <c r="K143" i="35"/>
  <c r="C145" i="35"/>
  <c r="K145" i="35"/>
  <c r="C146" i="35"/>
  <c r="K146" i="35"/>
  <c r="C147" i="35"/>
  <c r="K147" i="35"/>
  <c r="K148" i="35"/>
  <c r="K150" i="35"/>
  <c r="C153" i="35"/>
  <c r="K153" i="35"/>
  <c r="K154" i="35"/>
  <c r="C155" i="35"/>
  <c r="K155" i="35"/>
  <c r="C156" i="35"/>
  <c r="K156" i="35"/>
  <c r="C159" i="35"/>
  <c r="K159" i="35"/>
  <c r="C160" i="35"/>
  <c r="K160" i="35"/>
  <c r="K161" i="35"/>
  <c r="K162" i="35"/>
  <c r="C163" i="35"/>
  <c r="K163" i="35"/>
  <c r="C165" i="35"/>
  <c r="K165" i="35"/>
  <c r="D141" i="35"/>
  <c r="L141" i="35"/>
  <c r="D143" i="35"/>
  <c r="L143" i="35"/>
  <c r="D145" i="35"/>
  <c r="L145" i="35"/>
  <c r="D146" i="35"/>
  <c r="L146" i="35"/>
  <c r="D147" i="35"/>
  <c r="L147" i="35"/>
  <c r="L148" i="35"/>
  <c r="L150" i="35"/>
  <c r="D153" i="35"/>
  <c r="L153" i="35"/>
  <c r="L154" i="35"/>
  <c r="D155" i="35"/>
  <c r="L155" i="35"/>
  <c r="D156" i="35"/>
  <c r="L156" i="35"/>
  <c r="D159" i="35"/>
  <c r="L159" i="35"/>
  <c r="D160" i="35"/>
  <c r="L160" i="35"/>
  <c r="L161" i="35"/>
  <c r="L162" i="35"/>
  <c r="D163" i="35"/>
  <c r="L163" i="35"/>
  <c r="D165" i="35"/>
  <c r="L165" i="35"/>
  <c r="E141" i="35"/>
  <c r="M141" i="35"/>
  <c r="M142" i="35"/>
  <c r="E143" i="35"/>
  <c r="M143" i="35"/>
  <c r="E145" i="35"/>
  <c r="M145" i="35"/>
  <c r="E146" i="35"/>
  <c r="M146" i="35"/>
  <c r="E147" i="35"/>
  <c r="M147" i="35"/>
  <c r="M148" i="35"/>
  <c r="M150" i="35"/>
  <c r="E153" i="35"/>
  <c r="M153" i="35"/>
  <c r="M154" i="35"/>
  <c r="E155" i="35"/>
  <c r="M155" i="35"/>
  <c r="E156" i="35"/>
  <c r="M156" i="35"/>
  <c r="E159" i="35"/>
  <c r="M159" i="35"/>
  <c r="E160" i="35"/>
  <c r="M160" i="35"/>
  <c r="M161" i="35"/>
  <c r="M162" i="35"/>
  <c r="E163" i="35"/>
  <c r="M163" i="35"/>
  <c r="E165" i="35"/>
  <c r="M165" i="35"/>
  <c r="F141" i="35"/>
  <c r="N141" i="35"/>
  <c r="F143" i="35"/>
  <c r="N143" i="35"/>
  <c r="F145" i="35"/>
  <c r="N145" i="35"/>
  <c r="F146" i="35"/>
  <c r="N146" i="35"/>
  <c r="F147" i="35"/>
  <c r="N147" i="35"/>
  <c r="N148" i="35"/>
  <c r="N150" i="35"/>
  <c r="F153" i="35"/>
  <c r="N153" i="35"/>
  <c r="F154" i="35"/>
  <c r="N154" i="35"/>
  <c r="F155" i="35"/>
  <c r="N155" i="35"/>
  <c r="F156" i="35"/>
  <c r="N156" i="35"/>
  <c r="F159" i="35"/>
  <c r="N159" i="35"/>
  <c r="F160" i="35"/>
  <c r="N160" i="35"/>
  <c r="N161" i="35"/>
  <c r="N162" i="35"/>
  <c r="F163" i="35"/>
  <c r="N163" i="35"/>
  <c r="F165" i="35"/>
  <c r="N165" i="35"/>
  <c r="G141" i="35"/>
  <c r="O141" i="35"/>
  <c r="G143" i="35"/>
  <c r="O143" i="35"/>
  <c r="G145" i="35"/>
  <c r="O145" i="35"/>
  <c r="G146" i="35"/>
  <c r="O146" i="35"/>
  <c r="G147" i="35"/>
  <c r="O147" i="35"/>
  <c r="G148" i="35"/>
  <c r="O148" i="35"/>
  <c r="O149" i="35"/>
  <c r="O150" i="35"/>
  <c r="G153" i="35"/>
  <c r="O153" i="35"/>
  <c r="G154" i="35"/>
  <c r="O154" i="35"/>
  <c r="G155" i="35"/>
  <c r="O155" i="35"/>
  <c r="G156" i="35"/>
  <c r="O156" i="35"/>
  <c r="G159" i="35"/>
  <c r="O159" i="35"/>
  <c r="G160" i="35"/>
  <c r="O160" i="35"/>
  <c r="O161" i="35"/>
  <c r="O162" i="35"/>
  <c r="G163" i="35"/>
  <c r="O163" i="35"/>
  <c r="G165" i="35"/>
  <c r="O165" i="35"/>
  <c r="P141" i="35"/>
  <c r="P143" i="35"/>
  <c r="P145" i="35"/>
  <c r="P146" i="35"/>
  <c r="P147" i="35"/>
  <c r="P148" i="35"/>
  <c r="P149" i="35"/>
  <c r="P150" i="35"/>
  <c r="P153" i="35"/>
  <c r="P154" i="35"/>
  <c r="P155" i="35"/>
  <c r="P156" i="35"/>
  <c r="P159" i="35"/>
  <c r="P160" i="35"/>
  <c r="P161" i="35"/>
  <c r="P162" i="35"/>
  <c r="P163" i="35"/>
  <c r="P165" i="35"/>
  <c r="I141" i="35"/>
  <c r="I143" i="35"/>
  <c r="I145" i="35"/>
  <c r="I146" i="35"/>
  <c r="I147" i="35"/>
  <c r="I148" i="35"/>
  <c r="I150" i="35"/>
  <c r="I153" i="35"/>
  <c r="I154" i="35"/>
  <c r="I155" i="35"/>
  <c r="I156" i="35"/>
  <c r="I159" i="35"/>
  <c r="I160" i="35"/>
  <c r="I161" i="35"/>
  <c r="I162" i="35"/>
  <c r="I163" i="35"/>
  <c r="I165" i="35"/>
  <c r="K3" i="3" l="1"/>
  <c r="G54" i="32"/>
  <c r="H17" i="35"/>
  <c r="BL2" i="3"/>
  <c r="BH53" i="32"/>
  <c r="I144" i="35"/>
  <c r="Q17" i="35"/>
  <c r="S2" i="3"/>
  <c r="O53" i="32"/>
  <c r="J147" i="35"/>
  <c r="J145" i="35"/>
  <c r="J141" i="35"/>
  <c r="J151" i="35"/>
  <c r="B160" i="35"/>
  <c r="B155" i="35"/>
  <c r="BN2" i="3"/>
  <c r="BJ53" i="32"/>
  <c r="I158" i="35"/>
  <c r="K142" i="35"/>
  <c r="E72" i="32"/>
  <c r="F61" i="32"/>
  <c r="F47" i="32" s="1"/>
  <c r="BL71" i="32"/>
  <c r="BL60" i="32" s="1"/>
  <c r="BL46" i="32" s="1"/>
  <c r="BK60" i="32"/>
  <c r="BK46" i="32" s="1"/>
  <c r="AZ83" i="32"/>
  <c r="AZ77" i="32" s="1"/>
  <c r="BA83" i="32"/>
  <c r="BA77" i="32" s="1"/>
  <c r="AR83" i="32"/>
  <c r="AR77" i="32" s="1"/>
  <c r="D150" i="34"/>
  <c r="C150" i="34"/>
  <c r="B150" i="34"/>
  <c r="I149" i="34"/>
  <c r="H149" i="34"/>
  <c r="G149" i="34"/>
  <c r="F149" i="34"/>
  <c r="E149" i="34"/>
  <c r="D149" i="34"/>
  <c r="C149" i="34"/>
  <c r="B149" i="34"/>
  <c r="Q52" i="34"/>
  <c r="P52" i="34"/>
  <c r="O52" i="34"/>
  <c r="N52" i="34"/>
  <c r="M52" i="34"/>
  <c r="L52" i="34"/>
  <c r="K52" i="34"/>
  <c r="J52" i="34"/>
  <c r="I52" i="34"/>
  <c r="H52" i="34"/>
  <c r="G52" i="34"/>
  <c r="F52" i="34"/>
  <c r="E52" i="34"/>
  <c r="D52" i="34"/>
  <c r="C52" i="34"/>
  <c r="B52" i="34"/>
  <c r="Q43" i="34"/>
  <c r="BG83" i="32" s="1"/>
  <c r="BG77" i="32" s="1"/>
  <c r="P43" i="34"/>
  <c r="BF83" i="32" s="1"/>
  <c r="BF77" i="32" s="1"/>
  <c r="O43" i="34"/>
  <c r="BE83" i="32" s="1"/>
  <c r="BE77" i="32" s="1"/>
  <c r="N43" i="34"/>
  <c r="N42" i="34" s="1"/>
  <c r="M43" i="34"/>
  <c r="M42" i="34" s="1"/>
  <c r="M17" i="34" s="1"/>
  <c r="L43" i="34"/>
  <c r="BB83" i="32" s="1"/>
  <c r="BB77" i="32" s="1"/>
  <c r="K43" i="34"/>
  <c r="J43" i="34"/>
  <c r="I43" i="34"/>
  <c r="AY83" i="32" s="1"/>
  <c r="AY77" i="32" s="1"/>
  <c r="H43" i="34"/>
  <c r="AX83" i="32" s="1"/>
  <c r="AX77" i="32" s="1"/>
  <c r="G43" i="34"/>
  <c r="AW83" i="32" s="1"/>
  <c r="AW77" i="32" s="1"/>
  <c r="F43" i="34"/>
  <c r="AV83" i="32" s="1"/>
  <c r="AV77" i="32" s="1"/>
  <c r="E43" i="34"/>
  <c r="E42" i="34" s="1"/>
  <c r="E17" i="34" s="1"/>
  <c r="D43" i="34"/>
  <c r="AT83" i="32" s="1"/>
  <c r="AT77" i="32" s="1"/>
  <c r="C43" i="34"/>
  <c r="AS83" i="32" s="1"/>
  <c r="AS77" i="32" s="1"/>
  <c r="B43" i="34"/>
  <c r="Q42" i="34"/>
  <c r="P42" i="34"/>
  <c r="L42" i="34"/>
  <c r="J42" i="34"/>
  <c r="I42" i="34"/>
  <c r="H42" i="34"/>
  <c r="D42" i="34"/>
  <c r="C42" i="34"/>
  <c r="B42" i="34"/>
  <c r="Q33" i="34"/>
  <c r="P33" i="34"/>
  <c r="O33" i="34"/>
  <c r="N33" i="34"/>
  <c r="M33" i="34"/>
  <c r="L33" i="34"/>
  <c r="K33" i="34"/>
  <c r="J33" i="34"/>
  <c r="I33" i="34"/>
  <c r="H33" i="34"/>
  <c r="G33" i="34"/>
  <c r="F33" i="34"/>
  <c r="E33" i="34"/>
  <c r="D33" i="34"/>
  <c r="C33" i="34"/>
  <c r="B33" i="34"/>
  <c r="Q21" i="34"/>
  <c r="P21" i="34"/>
  <c r="O21" i="34"/>
  <c r="N21" i="34"/>
  <c r="M21" i="34"/>
  <c r="L21" i="34"/>
  <c r="L18" i="34" s="1"/>
  <c r="L17" i="34" s="1"/>
  <c r="K21" i="34"/>
  <c r="J21" i="34"/>
  <c r="I21" i="34"/>
  <c r="I18" i="34" s="1"/>
  <c r="I17" i="34" s="1"/>
  <c r="H21" i="34"/>
  <c r="G21" i="34"/>
  <c r="F21" i="34"/>
  <c r="E21" i="34"/>
  <c r="D21" i="34"/>
  <c r="D18" i="34" s="1"/>
  <c r="D17" i="34" s="1"/>
  <c r="C21" i="34"/>
  <c r="C18" i="34" s="1"/>
  <c r="C17" i="34" s="1"/>
  <c r="C160" i="34" s="1"/>
  <c r="B21" i="34"/>
  <c r="Q18" i="34"/>
  <c r="Q17" i="34" s="1"/>
  <c r="P18" i="34"/>
  <c r="N18" i="34"/>
  <c r="M18" i="34"/>
  <c r="J18" i="34"/>
  <c r="H18" i="34"/>
  <c r="H17" i="34" s="1"/>
  <c r="F18" i="34"/>
  <c r="E18" i="34"/>
  <c r="B18" i="34"/>
  <c r="B17" i="34" s="1"/>
  <c r="P17" i="34"/>
  <c r="Q10" i="34"/>
  <c r="P10" i="34"/>
  <c r="O10" i="34"/>
  <c r="N10" i="34"/>
  <c r="M10" i="34"/>
  <c r="L10" i="34"/>
  <c r="K10" i="34"/>
  <c r="J10" i="34"/>
  <c r="I10" i="34"/>
  <c r="H10" i="34"/>
  <c r="G10" i="34"/>
  <c r="F10" i="34"/>
  <c r="E10" i="34"/>
  <c r="D10" i="34"/>
  <c r="C10" i="34"/>
  <c r="B10" i="34"/>
  <c r="Q5" i="34"/>
  <c r="P5" i="34"/>
  <c r="O5" i="34"/>
  <c r="O4" i="34" s="1"/>
  <c r="N5" i="34"/>
  <c r="M5" i="34"/>
  <c r="M4" i="34" s="1"/>
  <c r="L5" i="34"/>
  <c r="K5" i="34"/>
  <c r="J5" i="34"/>
  <c r="I5" i="34"/>
  <c r="H5" i="34"/>
  <c r="H4" i="34" s="1"/>
  <c r="G5" i="34"/>
  <c r="G4" i="34" s="1"/>
  <c r="F5" i="34"/>
  <c r="E5" i="34"/>
  <c r="E4" i="34" s="1"/>
  <c r="D5" i="34"/>
  <c r="C5" i="34"/>
  <c r="B5" i="34"/>
  <c r="Q4" i="34"/>
  <c r="P4" i="34"/>
  <c r="N4" i="34"/>
  <c r="L4" i="34"/>
  <c r="K4" i="34"/>
  <c r="J4" i="34"/>
  <c r="I4" i="34"/>
  <c r="F4" i="34"/>
  <c r="D4" i="34"/>
  <c r="C4" i="34"/>
  <c r="B4" i="34"/>
  <c r="N151" i="34" l="1"/>
  <c r="N17" i="34"/>
  <c r="B144" i="34"/>
  <c r="B157" i="34"/>
  <c r="N144" i="34"/>
  <c r="B160" i="34"/>
  <c r="B159" i="34"/>
  <c r="B155" i="34"/>
  <c r="B148" i="34"/>
  <c r="B163" i="34"/>
  <c r="B161" i="34"/>
  <c r="B153" i="34"/>
  <c r="B146" i="34"/>
  <c r="B165" i="34"/>
  <c r="B151" i="34"/>
  <c r="K158" i="34"/>
  <c r="C164" i="34"/>
  <c r="BC83" i="32"/>
  <c r="BC77" i="32" s="1"/>
  <c r="AU83" i="32"/>
  <c r="AU77" i="32" s="1"/>
  <c r="J144" i="34"/>
  <c r="K42" i="34"/>
  <c r="B142" i="34"/>
  <c r="H166" i="35"/>
  <c r="H146" i="35"/>
  <c r="H141" i="35"/>
  <c r="H165" i="35"/>
  <c r="H148" i="35"/>
  <c r="H151" i="35"/>
  <c r="H153" i="35"/>
  <c r="H159" i="35"/>
  <c r="H163" i="35"/>
  <c r="H142" i="35"/>
  <c r="H143" i="35"/>
  <c r="H155" i="35"/>
  <c r="H147" i="35"/>
  <c r="H160" i="35"/>
  <c r="H162" i="35"/>
  <c r="H154" i="35"/>
  <c r="H161" i="35"/>
  <c r="H156" i="35"/>
  <c r="H144" i="35"/>
  <c r="H145" i="35"/>
  <c r="H158" i="35"/>
  <c r="H164" i="35"/>
  <c r="H150" i="35"/>
  <c r="J17" i="34"/>
  <c r="BP2" i="3"/>
  <c r="BL53" i="32"/>
  <c r="F42" i="34"/>
  <c r="J3" i="3"/>
  <c r="F54" i="32"/>
  <c r="Q166" i="35"/>
  <c r="Q143" i="35"/>
  <c r="Q148" i="35"/>
  <c r="Q162" i="35"/>
  <c r="Q164" i="35"/>
  <c r="Q149" i="35"/>
  <c r="Q155" i="35"/>
  <c r="Q161" i="35"/>
  <c r="Q150" i="35"/>
  <c r="Q146" i="35"/>
  <c r="Q151" i="35"/>
  <c r="Q159" i="35"/>
  <c r="Q160" i="35"/>
  <c r="Q145" i="35"/>
  <c r="Q156" i="35"/>
  <c r="Q163" i="35"/>
  <c r="Q165" i="35"/>
  <c r="Q157" i="35"/>
  <c r="Q158" i="35"/>
  <c r="Q153" i="35"/>
  <c r="Q141" i="35"/>
  <c r="Q147" i="35"/>
  <c r="Q144" i="35"/>
  <c r="Q154" i="35"/>
  <c r="K151" i="34"/>
  <c r="N158" i="34"/>
  <c r="Q142" i="35"/>
  <c r="K144" i="34"/>
  <c r="K18" i="34"/>
  <c r="K17" i="34" s="1"/>
  <c r="K149" i="34" s="1"/>
  <c r="N164" i="34"/>
  <c r="BO2" i="3"/>
  <c r="BK53" i="32"/>
  <c r="B164" i="34"/>
  <c r="BD83" i="32"/>
  <c r="BD77" i="32" s="1"/>
  <c r="H157" i="35"/>
  <c r="D72" i="32"/>
  <c r="D61" i="32" s="1"/>
  <c r="D47" i="32" s="1"/>
  <c r="E61" i="32"/>
  <c r="E47" i="32" s="1"/>
  <c r="C163" i="34"/>
  <c r="I142" i="34"/>
  <c r="I144" i="34"/>
  <c r="I151" i="34"/>
  <c r="I157" i="34"/>
  <c r="I158" i="34"/>
  <c r="I164" i="34"/>
  <c r="Q164" i="34"/>
  <c r="K141" i="34"/>
  <c r="B143" i="34"/>
  <c r="K145" i="34"/>
  <c r="B147" i="34"/>
  <c r="K152" i="34"/>
  <c r="B154" i="34"/>
  <c r="K156" i="34"/>
  <c r="B158" i="34"/>
  <c r="K160" i="34"/>
  <c r="B162" i="34"/>
  <c r="K164" i="34"/>
  <c r="B166" i="34"/>
  <c r="G42" i="34"/>
  <c r="K142" i="34"/>
  <c r="K146" i="34"/>
  <c r="K153" i="34"/>
  <c r="K157" i="34"/>
  <c r="K161" i="34"/>
  <c r="K165" i="34"/>
  <c r="H166" i="34"/>
  <c r="H165" i="34"/>
  <c r="H163" i="34"/>
  <c r="H162" i="34"/>
  <c r="H161" i="34"/>
  <c r="H160" i="34"/>
  <c r="H159" i="34"/>
  <c r="H156" i="34"/>
  <c r="H155" i="34"/>
  <c r="H154" i="34"/>
  <c r="H153" i="34"/>
  <c r="H152" i="34"/>
  <c r="H150" i="34"/>
  <c r="H148" i="34"/>
  <c r="H147" i="34"/>
  <c r="H146" i="34"/>
  <c r="H145" i="34"/>
  <c r="H143" i="34"/>
  <c r="H141" i="34"/>
  <c r="P166" i="34"/>
  <c r="P165" i="34"/>
  <c r="P163" i="34"/>
  <c r="P162" i="34"/>
  <c r="P161" i="34"/>
  <c r="P160" i="34"/>
  <c r="P159" i="34"/>
  <c r="P156" i="34"/>
  <c r="P155" i="34"/>
  <c r="P154" i="34"/>
  <c r="P153" i="34"/>
  <c r="P152" i="34"/>
  <c r="P150" i="34"/>
  <c r="P149" i="34"/>
  <c r="P148" i="34"/>
  <c r="P147" i="34"/>
  <c r="P146" i="34"/>
  <c r="P145" i="34"/>
  <c r="P143" i="34"/>
  <c r="P141" i="34"/>
  <c r="H142" i="34"/>
  <c r="P142" i="34"/>
  <c r="H144" i="34"/>
  <c r="P144" i="34"/>
  <c r="H151" i="34"/>
  <c r="P151" i="34"/>
  <c r="H157" i="34"/>
  <c r="P157" i="34"/>
  <c r="H158" i="34"/>
  <c r="P158" i="34"/>
  <c r="H164" i="34"/>
  <c r="P164" i="34"/>
  <c r="C144" i="34"/>
  <c r="C148" i="34"/>
  <c r="C151" i="34"/>
  <c r="C155" i="34"/>
  <c r="C159" i="34"/>
  <c r="N161" i="34"/>
  <c r="N165" i="34"/>
  <c r="I166" i="34"/>
  <c r="I165" i="34"/>
  <c r="I163" i="34"/>
  <c r="I162" i="34"/>
  <c r="I161" i="34"/>
  <c r="I160" i="34"/>
  <c r="I159" i="34"/>
  <c r="I156" i="34"/>
  <c r="I155" i="34"/>
  <c r="I154" i="34"/>
  <c r="I153" i="34"/>
  <c r="I152" i="34"/>
  <c r="I150" i="34"/>
  <c r="I148" i="34"/>
  <c r="I147" i="34"/>
  <c r="I146" i="34"/>
  <c r="I145" i="34"/>
  <c r="I143" i="34"/>
  <c r="I141" i="34"/>
  <c r="Q166" i="34"/>
  <c r="Q165" i="34"/>
  <c r="Q163" i="34"/>
  <c r="Q162" i="34"/>
  <c r="Q161" i="34"/>
  <c r="Q160" i="34"/>
  <c r="Q159" i="34"/>
  <c r="Q156" i="34"/>
  <c r="Q155" i="34"/>
  <c r="Q154" i="34"/>
  <c r="Q153" i="34"/>
  <c r="Q152" i="34"/>
  <c r="Q150" i="34"/>
  <c r="Q149" i="34"/>
  <c r="Q148" i="34"/>
  <c r="Q147" i="34"/>
  <c r="Q146" i="34"/>
  <c r="Q145" i="34"/>
  <c r="Q143" i="34"/>
  <c r="Q141" i="34"/>
  <c r="Q142" i="34"/>
  <c r="Q144" i="34"/>
  <c r="Q151" i="34"/>
  <c r="Q157" i="34"/>
  <c r="Q158" i="34"/>
  <c r="N141" i="34"/>
  <c r="C143" i="34"/>
  <c r="N145" i="34"/>
  <c r="C147" i="34"/>
  <c r="J148" i="34"/>
  <c r="J151" i="34"/>
  <c r="N152" i="34"/>
  <c r="C154" i="34"/>
  <c r="J155" i="34"/>
  <c r="N156" i="34"/>
  <c r="C158" i="34"/>
  <c r="J159" i="34"/>
  <c r="N160" i="34"/>
  <c r="C162" i="34"/>
  <c r="J163" i="34"/>
  <c r="C166" i="34"/>
  <c r="G18" i="34"/>
  <c r="K155" i="34"/>
  <c r="K163" i="34"/>
  <c r="D142" i="34"/>
  <c r="D144" i="34"/>
  <c r="D151" i="34"/>
  <c r="L157" i="34"/>
  <c r="L158" i="34"/>
  <c r="L164" i="34"/>
  <c r="C142" i="34"/>
  <c r="C161" i="34"/>
  <c r="C165" i="34"/>
  <c r="E166" i="34"/>
  <c r="E165" i="34"/>
  <c r="E163" i="34"/>
  <c r="E162" i="34"/>
  <c r="E161" i="34"/>
  <c r="E160" i="34"/>
  <c r="E159" i="34"/>
  <c r="E156" i="34"/>
  <c r="E155" i="34"/>
  <c r="E154" i="34"/>
  <c r="E153" i="34"/>
  <c r="E152" i="34"/>
  <c r="E150" i="34"/>
  <c r="E148" i="34"/>
  <c r="E147" i="34"/>
  <c r="E146" i="34"/>
  <c r="E145" i="34"/>
  <c r="E143" i="34"/>
  <c r="E141" i="34"/>
  <c r="M166" i="34"/>
  <c r="M165" i="34"/>
  <c r="M163" i="34"/>
  <c r="M162" i="34"/>
  <c r="M161" i="34"/>
  <c r="M160" i="34"/>
  <c r="M159" i="34"/>
  <c r="M156" i="34"/>
  <c r="M155" i="34"/>
  <c r="M154" i="34"/>
  <c r="M153" i="34"/>
  <c r="M152" i="34"/>
  <c r="M150" i="34"/>
  <c r="M149" i="34"/>
  <c r="M148" i="34"/>
  <c r="M147" i="34"/>
  <c r="M146" i="34"/>
  <c r="M145" i="34"/>
  <c r="M143" i="34"/>
  <c r="M141" i="34"/>
  <c r="E142" i="34"/>
  <c r="M142" i="34"/>
  <c r="E144" i="34"/>
  <c r="M144" i="34"/>
  <c r="E151" i="34"/>
  <c r="M151" i="34"/>
  <c r="E157" i="34"/>
  <c r="M157" i="34"/>
  <c r="E158" i="34"/>
  <c r="M158" i="34"/>
  <c r="E164" i="34"/>
  <c r="M164" i="34"/>
  <c r="B141" i="34"/>
  <c r="K143" i="34"/>
  <c r="B145" i="34"/>
  <c r="K147" i="34"/>
  <c r="J149" i="34"/>
  <c r="K150" i="34"/>
  <c r="B152" i="34"/>
  <c r="K154" i="34"/>
  <c r="B156" i="34"/>
  <c r="K162" i="34"/>
  <c r="K166" i="34"/>
  <c r="O18" i="34"/>
  <c r="O42" i="34"/>
  <c r="K148" i="34"/>
  <c r="K159" i="34"/>
  <c r="D166" i="34"/>
  <c r="D165" i="34"/>
  <c r="D163" i="34"/>
  <c r="D162" i="34"/>
  <c r="D161" i="34"/>
  <c r="D160" i="34"/>
  <c r="D159" i="34"/>
  <c r="D156" i="34"/>
  <c r="D155" i="34"/>
  <c r="D154" i="34"/>
  <c r="D153" i="34"/>
  <c r="D152" i="34"/>
  <c r="D148" i="34"/>
  <c r="D147" i="34"/>
  <c r="D146" i="34"/>
  <c r="D145" i="34"/>
  <c r="D143" i="34"/>
  <c r="D141" i="34"/>
  <c r="L166" i="34"/>
  <c r="L165" i="34"/>
  <c r="L163" i="34"/>
  <c r="L162" i="34"/>
  <c r="L161" i="34"/>
  <c r="L160" i="34"/>
  <c r="L159" i="34"/>
  <c r="L156" i="34"/>
  <c r="L155" i="34"/>
  <c r="L154" i="34"/>
  <c r="L153" i="34"/>
  <c r="L152" i="34"/>
  <c r="L150" i="34"/>
  <c r="L149" i="34"/>
  <c r="L148" i="34"/>
  <c r="L147" i="34"/>
  <c r="L146" i="34"/>
  <c r="L145" i="34"/>
  <c r="L143" i="34"/>
  <c r="L141" i="34"/>
  <c r="L142" i="34"/>
  <c r="L144" i="34"/>
  <c r="L151" i="34"/>
  <c r="D157" i="34"/>
  <c r="D158" i="34"/>
  <c r="D164" i="34"/>
  <c r="C146" i="34"/>
  <c r="C153" i="34"/>
  <c r="C157" i="34"/>
  <c r="C141" i="34"/>
  <c r="N143" i="34"/>
  <c r="C145" i="34"/>
  <c r="J146" i="34"/>
  <c r="N147" i="34"/>
  <c r="N150" i="34"/>
  <c r="C152" i="34"/>
  <c r="J153" i="34"/>
  <c r="N154" i="34"/>
  <c r="C156" i="34"/>
  <c r="J161" i="34"/>
  <c r="N162" i="34"/>
  <c r="I3" i="3" l="1"/>
  <c r="E54" i="32"/>
  <c r="J165" i="34"/>
  <c r="J166" i="34"/>
  <c r="J162" i="34"/>
  <c r="J154" i="34"/>
  <c r="J150" i="34"/>
  <c r="J147" i="34"/>
  <c r="J143" i="34"/>
  <c r="J160" i="34"/>
  <c r="J156" i="34"/>
  <c r="J152" i="34"/>
  <c r="J145" i="34"/>
  <c r="J141" i="34"/>
  <c r="J142" i="34"/>
  <c r="J157" i="34"/>
  <c r="H3" i="3"/>
  <c r="D54" i="32"/>
  <c r="J164" i="34"/>
  <c r="N166" i="34"/>
  <c r="N149" i="34"/>
  <c r="N159" i="34"/>
  <c r="N155" i="34"/>
  <c r="N148" i="34"/>
  <c r="N153" i="34"/>
  <c r="N146" i="34"/>
  <c r="N163" i="34"/>
  <c r="N142" i="34"/>
  <c r="J158" i="34"/>
  <c r="N157" i="34"/>
  <c r="F17" i="34"/>
  <c r="G17" i="34"/>
  <c r="G142" i="34" s="1"/>
  <c r="G157" i="34"/>
  <c r="O17" i="34"/>
  <c r="F160" i="34" l="1"/>
  <c r="F156" i="34"/>
  <c r="F152" i="34"/>
  <c r="F145" i="34"/>
  <c r="F141" i="34"/>
  <c r="F154" i="34"/>
  <c r="F150" i="34"/>
  <c r="F143" i="34"/>
  <c r="F147" i="34"/>
  <c r="F162" i="34"/>
  <c r="F166" i="34"/>
  <c r="F148" i="34"/>
  <c r="F151" i="34"/>
  <c r="F153" i="34"/>
  <c r="F146" i="34"/>
  <c r="F163" i="34"/>
  <c r="F155" i="34"/>
  <c r="F161" i="34"/>
  <c r="F144" i="34"/>
  <c r="F164" i="34"/>
  <c r="F158" i="34"/>
  <c r="F142" i="34"/>
  <c r="F165" i="34"/>
  <c r="F159" i="34"/>
  <c r="F157" i="34"/>
  <c r="G166" i="34"/>
  <c r="G165" i="34"/>
  <c r="G163" i="34"/>
  <c r="G162" i="34"/>
  <c r="G161" i="34"/>
  <c r="G160" i="34"/>
  <c r="G159" i="34"/>
  <c r="G156" i="34"/>
  <c r="G155" i="34"/>
  <c r="G154" i="34"/>
  <c r="G153" i="34"/>
  <c r="G152" i="34"/>
  <c r="G150" i="34"/>
  <c r="G148" i="34"/>
  <c r="G147" i="34"/>
  <c r="G146" i="34"/>
  <c r="G145" i="34"/>
  <c r="G143" i="34"/>
  <c r="G141" i="34"/>
  <c r="G144" i="34"/>
  <c r="G164" i="34"/>
  <c r="G158" i="34"/>
  <c r="G151" i="34"/>
  <c r="O166" i="34"/>
  <c r="O165" i="34"/>
  <c r="O163" i="34"/>
  <c r="O162" i="34"/>
  <c r="O161" i="34"/>
  <c r="O160" i="34"/>
  <c r="O159" i="34"/>
  <c r="O156" i="34"/>
  <c r="O155" i="34"/>
  <c r="O154" i="34"/>
  <c r="O153" i="34"/>
  <c r="O152" i="34"/>
  <c r="O150" i="34"/>
  <c r="O149" i="34"/>
  <c r="O148" i="34"/>
  <c r="O147" i="34"/>
  <c r="O146" i="34"/>
  <c r="O145" i="34"/>
  <c r="O143" i="34"/>
  <c r="O141" i="34"/>
  <c r="O164" i="34"/>
  <c r="O158" i="34"/>
  <c r="O144" i="34"/>
  <c r="O151" i="34"/>
  <c r="O142" i="34"/>
  <c r="O157" i="34"/>
  <c r="AX82" i="32" l="1"/>
  <c r="AX76" i="32" s="1"/>
  <c r="AY82" i="32"/>
  <c r="AY76" i="32" s="1"/>
  <c r="AZ82" i="32"/>
  <c r="AZ76" i="32" s="1"/>
  <c r="BF82" i="32"/>
  <c r="BF76" i="32" s="1"/>
  <c r="BG82" i="32"/>
  <c r="BG76" i="32" s="1"/>
  <c r="AR82" i="32"/>
  <c r="AR76" i="32" s="1"/>
  <c r="E163" i="33"/>
  <c r="D163" i="33"/>
  <c r="C163" i="33"/>
  <c r="B163" i="33"/>
  <c r="Q162" i="33"/>
  <c r="P162" i="33"/>
  <c r="O162" i="33"/>
  <c r="N162" i="33"/>
  <c r="M162" i="33"/>
  <c r="L162" i="33"/>
  <c r="K162" i="33"/>
  <c r="J162" i="33"/>
  <c r="I162" i="33"/>
  <c r="H162" i="33"/>
  <c r="G162" i="33"/>
  <c r="F162" i="33"/>
  <c r="E162" i="33"/>
  <c r="D162" i="33"/>
  <c r="C162" i="33"/>
  <c r="B162" i="33"/>
  <c r="Q155" i="33"/>
  <c r="P155" i="33"/>
  <c r="O155" i="33"/>
  <c r="N155" i="33"/>
  <c r="M155" i="33"/>
  <c r="L155" i="33"/>
  <c r="K155" i="33"/>
  <c r="J155" i="33"/>
  <c r="I155" i="33"/>
  <c r="H155" i="33"/>
  <c r="G155" i="33"/>
  <c r="F155" i="33"/>
  <c r="E155" i="33"/>
  <c r="D155" i="33"/>
  <c r="C155" i="33"/>
  <c r="B155" i="33"/>
  <c r="Q154" i="33"/>
  <c r="P154" i="33"/>
  <c r="O154" i="33"/>
  <c r="N154" i="33"/>
  <c r="M154" i="33"/>
  <c r="L154" i="33"/>
  <c r="K154" i="33"/>
  <c r="J154" i="33"/>
  <c r="I154" i="33"/>
  <c r="H154" i="33"/>
  <c r="G154" i="33"/>
  <c r="F154" i="33"/>
  <c r="E154" i="33"/>
  <c r="D154" i="33"/>
  <c r="C154" i="33"/>
  <c r="B154" i="33"/>
  <c r="Q152" i="33"/>
  <c r="P152" i="33"/>
  <c r="O152" i="33"/>
  <c r="N152" i="33"/>
  <c r="M152" i="33"/>
  <c r="L152" i="33"/>
  <c r="K152" i="33"/>
  <c r="J152" i="33"/>
  <c r="I152" i="33"/>
  <c r="H152" i="33"/>
  <c r="G152" i="33"/>
  <c r="F152" i="33"/>
  <c r="E152" i="33"/>
  <c r="D152" i="33"/>
  <c r="C152" i="33"/>
  <c r="B152" i="33"/>
  <c r="K150" i="33"/>
  <c r="J150" i="33"/>
  <c r="I150" i="33"/>
  <c r="H150" i="33"/>
  <c r="G150" i="33"/>
  <c r="F150" i="33"/>
  <c r="E150" i="33"/>
  <c r="D150" i="33"/>
  <c r="C150" i="33"/>
  <c r="B150" i="33"/>
  <c r="N149" i="33"/>
  <c r="M149" i="33"/>
  <c r="L149" i="33"/>
  <c r="K149" i="33"/>
  <c r="J149" i="33"/>
  <c r="I149" i="33"/>
  <c r="H149" i="33"/>
  <c r="G149" i="33"/>
  <c r="F149" i="33"/>
  <c r="E149" i="33"/>
  <c r="D149" i="33"/>
  <c r="C149" i="33"/>
  <c r="B149" i="33"/>
  <c r="Q148" i="33"/>
  <c r="P148" i="33"/>
  <c r="O148" i="33"/>
  <c r="N148" i="33"/>
  <c r="M148" i="33"/>
  <c r="L148" i="33"/>
  <c r="K148" i="33"/>
  <c r="J148" i="33"/>
  <c r="I148" i="33"/>
  <c r="H148" i="33"/>
  <c r="G148" i="33"/>
  <c r="F148" i="33"/>
  <c r="E148" i="33"/>
  <c r="D148" i="33"/>
  <c r="C148" i="33"/>
  <c r="B148" i="33"/>
  <c r="Q52" i="33"/>
  <c r="P52" i="33"/>
  <c r="O52" i="33"/>
  <c r="N52" i="33"/>
  <c r="M52" i="33"/>
  <c r="L52" i="33"/>
  <c r="K52" i="33"/>
  <c r="J52" i="33"/>
  <c r="I52" i="33"/>
  <c r="H52" i="33"/>
  <c r="G52" i="33"/>
  <c r="F52" i="33"/>
  <c r="E52" i="33"/>
  <c r="D52" i="33"/>
  <c r="C52" i="33"/>
  <c r="B52" i="33"/>
  <c r="Q43" i="33"/>
  <c r="P43" i="33"/>
  <c r="O43" i="33"/>
  <c r="N43" i="33"/>
  <c r="BD82" i="32" s="1"/>
  <c r="BD76" i="32" s="1"/>
  <c r="M43" i="33"/>
  <c r="BC82" i="32" s="1"/>
  <c r="BC76" i="32" s="1"/>
  <c r="L43" i="33"/>
  <c r="BB82" i="32" s="1"/>
  <c r="BB76" i="32" s="1"/>
  <c r="K43" i="33"/>
  <c r="BA82" i="32" s="1"/>
  <c r="BA76" i="32" s="1"/>
  <c r="J43" i="33"/>
  <c r="I43" i="33"/>
  <c r="I42" i="33" s="1"/>
  <c r="H43" i="33"/>
  <c r="G43" i="33"/>
  <c r="AW82" i="32" s="1"/>
  <c r="AW76" i="32" s="1"/>
  <c r="F43" i="33"/>
  <c r="AV82" i="32" s="1"/>
  <c r="AV76" i="32" s="1"/>
  <c r="E43" i="33"/>
  <c r="D43" i="33"/>
  <c r="AT82" i="32" s="1"/>
  <c r="AT76" i="32" s="1"/>
  <c r="C43" i="33"/>
  <c r="AS82" i="32" s="1"/>
  <c r="AS76" i="32" s="1"/>
  <c r="B43" i="33"/>
  <c r="Q42" i="33"/>
  <c r="P42" i="33"/>
  <c r="O42" i="33"/>
  <c r="L42" i="33"/>
  <c r="K42" i="33"/>
  <c r="J42" i="33"/>
  <c r="D42" i="33"/>
  <c r="C42" i="33"/>
  <c r="B42" i="33"/>
  <c r="Q33" i="33"/>
  <c r="P33" i="33"/>
  <c r="O33" i="33"/>
  <c r="N33" i="33"/>
  <c r="M33" i="33"/>
  <c r="L33" i="33"/>
  <c r="K33" i="33"/>
  <c r="J33" i="33"/>
  <c r="I33" i="33"/>
  <c r="H33" i="33"/>
  <c r="G33" i="33"/>
  <c r="F33" i="33"/>
  <c r="E33" i="33"/>
  <c r="D33" i="33"/>
  <c r="C33" i="33"/>
  <c r="B33" i="33"/>
  <c r="Q21" i="33"/>
  <c r="P21" i="33"/>
  <c r="O21" i="33"/>
  <c r="N21" i="33"/>
  <c r="M21" i="33"/>
  <c r="L21" i="33"/>
  <c r="K21" i="33"/>
  <c r="K18" i="33" s="1"/>
  <c r="K17" i="33" s="1"/>
  <c r="K146" i="33" s="1"/>
  <c r="J21" i="33"/>
  <c r="I21" i="33"/>
  <c r="H21" i="33"/>
  <c r="H18" i="33" s="1"/>
  <c r="G21" i="33"/>
  <c r="G18" i="33" s="1"/>
  <c r="F21" i="33"/>
  <c r="E21" i="33"/>
  <c r="D21" i="33"/>
  <c r="D18" i="33" s="1"/>
  <c r="C21" i="33"/>
  <c r="C18" i="33" s="1"/>
  <c r="C17" i="33" s="1"/>
  <c r="C145" i="33" s="1"/>
  <c r="B21" i="33"/>
  <c r="Q18" i="33"/>
  <c r="P18" i="33"/>
  <c r="O18" i="33"/>
  <c r="J18" i="33"/>
  <c r="B18" i="33"/>
  <c r="B17" i="33" s="1"/>
  <c r="B159" i="33" s="1"/>
  <c r="Q17" i="33"/>
  <c r="Q166" i="33" s="1"/>
  <c r="Q10" i="33"/>
  <c r="P10" i="33"/>
  <c r="P4" i="33" s="1"/>
  <c r="O10" i="33"/>
  <c r="N10" i="33"/>
  <c r="M10" i="33"/>
  <c r="L10" i="33"/>
  <c r="K10" i="33"/>
  <c r="J10" i="33"/>
  <c r="I10" i="33"/>
  <c r="H10" i="33"/>
  <c r="G10" i="33"/>
  <c r="F10" i="33"/>
  <c r="E10" i="33"/>
  <c r="D10" i="33"/>
  <c r="C10" i="33"/>
  <c r="B10" i="33"/>
  <c r="Q5" i="33"/>
  <c r="P5" i="33"/>
  <c r="O5" i="33"/>
  <c r="N5" i="33"/>
  <c r="N4" i="33" s="1"/>
  <c r="M5" i="33"/>
  <c r="M4" i="33" s="1"/>
  <c r="L5" i="33"/>
  <c r="L4" i="33" s="1"/>
  <c r="K5" i="33"/>
  <c r="K4" i="33" s="1"/>
  <c r="J5" i="33"/>
  <c r="J4" i="33" s="1"/>
  <c r="I5" i="33"/>
  <c r="I4" i="33" s="1"/>
  <c r="H5" i="33"/>
  <c r="H4" i="33" s="1"/>
  <c r="G5" i="33"/>
  <c r="G4" i="33" s="1"/>
  <c r="F5" i="33"/>
  <c r="F4" i="33" s="1"/>
  <c r="E5" i="33"/>
  <c r="D5" i="33"/>
  <c r="D4" i="33" s="1"/>
  <c r="C5" i="33"/>
  <c r="C4" i="33" s="1"/>
  <c r="B5" i="33"/>
  <c r="B4" i="33" s="1"/>
  <c r="Q4" i="33"/>
  <c r="O4" i="33"/>
  <c r="E4" i="33"/>
  <c r="D17" i="33" l="1"/>
  <c r="D166" i="33" s="1"/>
  <c r="H17" i="33"/>
  <c r="H166" i="33" s="1"/>
  <c r="G42" i="33"/>
  <c r="E18" i="33"/>
  <c r="Q157" i="33"/>
  <c r="Q158" i="33"/>
  <c r="P144" i="33"/>
  <c r="H151" i="33"/>
  <c r="AU82" i="32"/>
  <c r="AU76" i="32" s="1"/>
  <c r="D157" i="33"/>
  <c r="J17" i="33"/>
  <c r="J166" i="33" s="1"/>
  <c r="L18" i="33"/>
  <c r="H42" i="33"/>
  <c r="Q164" i="33"/>
  <c r="P142" i="33"/>
  <c r="O17" i="33"/>
  <c r="O166" i="33" s="1"/>
  <c r="Q144" i="33"/>
  <c r="Q151" i="33"/>
  <c r="K151" i="33"/>
  <c r="D144" i="33"/>
  <c r="M42" i="33"/>
  <c r="E42" i="33"/>
  <c r="M18" i="33"/>
  <c r="P164" i="33"/>
  <c r="BE82" i="32"/>
  <c r="BE76" i="32" s="1"/>
  <c r="H144" i="33"/>
  <c r="Q142" i="33"/>
  <c r="P17" i="33"/>
  <c r="P166" i="33" s="1"/>
  <c r="I18" i="33"/>
  <c r="B144" i="33"/>
  <c r="D158" i="33"/>
  <c r="D164" i="33"/>
  <c r="B142" i="33"/>
  <c r="K144" i="33"/>
  <c r="C142" i="33"/>
  <c r="C146" i="33"/>
  <c r="J147" i="33"/>
  <c r="B156" i="33"/>
  <c r="B160" i="33"/>
  <c r="B146" i="33"/>
  <c r="B141" i="33"/>
  <c r="K143" i="33"/>
  <c r="B145" i="33"/>
  <c r="K147" i="33"/>
  <c r="B164" i="33"/>
  <c r="F18" i="33"/>
  <c r="N18" i="33"/>
  <c r="F42" i="33"/>
  <c r="C141" i="33"/>
  <c r="B151" i="33"/>
  <c r="B157" i="33"/>
  <c r="B161" i="33"/>
  <c r="K142" i="33"/>
  <c r="C151" i="33"/>
  <c r="J157" i="33"/>
  <c r="B165" i="33"/>
  <c r="N42" i="33"/>
  <c r="C157" i="33"/>
  <c r="C158" i="33"/>
  <c r="C164" i="33"/>
  <c r="C144" i="33"/>
  <c r="B158" i="33"/>
  <c r="C166" i="33"/>
  <c r="C165" i="33"/>
  <c r="C156" i="33"/>
  <c r="C153" i="33"/>
  <c r="C161" i="33"/>
  <c r="C160" i="33"/>
  <c r="C159" i="33"/>
  <c r="K161" i="33"/>
  <c r="K160" i="33"/>
  <c r="K159" i="33"/>
  <c r="K166" i="33"/>
  <c r="K165" i="33"/>
  <c r="K163" i="33"/>
  <c r="K156" i="33"/>
  <c r="K153" i="33"/>
  <c r="K157" i="33"/>
  <c r="K158" i="33"/>
  <c r="K164" i="33"/>
  <c r="K141" i="33"/>
  <c r="B143" i="33"/>
  <c r="K145" i="33"/>
  <c r="B147" i="33"/>
  <c r="B166" i="33"/>
  <c r="C143" i="33"/>
  <c r="C147" i="33"/>
  <c r="B153" i="33"/>
  <c r="D141" i="33"/>
  <c r="D145" i="33"/>
  <c r="D146" i="33"/>
  <c r="D147" i="33"/>
  <c r="D153" i="33"/>
  <c r="D156" i="33"/>
  <c r="D159" i="33"/>
  <c r="D160" i="33"/>
  <c r="D161" i="33"/>
  <c r="D165" i="33"/>
  <c r="O141" i="33"/>
  <c r="O147" i="33"/>
  <c r="O159" i="33"/>
  <c r="O165" i="33"/>
  <c r="P141" i="33"/>
  <c r="P143" i="33"/>
  <c r="P145" i="33"/>
  <c r="H146" i="33"/>
  <c r="P146" i="33"/>
  <c r="P147" i="33"/>
  <c r="P149" i="33"/>
  <c r="P150" i="33"/>
  <c r="P153" i="33"/>
  <c r="H156" i="33"/>
  <c r="P156" i="33"/>
  <c r="P159" i="33"/>
  <c r="P160" i="33"/>
  <c r="P161" i="33"/>
  <c r="H163" i="33"/>
  <c r="P163" i="33"/>
  <c r="P165" i="33"/>
  <c r="Q141" i="33"/>
  <c r="Q143" i="33"/>
  <c r="Q145" i="33"/>
  <c r="Q146" i="33"/>
  <c r="Q147" i="33"/>
  <c r="Q149" i="33"/>
  <c r="Q150" i="33"/>
  <c r="Q153" i="33"/>
  <c r="Q156" i="33"/>
  <c r="Q159" i="33"/>
  <c r="Q160" i="33"/>
  <c r="Q161" i="33"/>
  <c r="Q163" i="33"/>
  <c r="Q165" i="33"/>
  <c r="J141" i="33" l="1"/>
  <c r="O146" i="33"/>
  <c r="H161" i="33"/>
  <c r="H153" i="33"/>
  <c r="H145" i="33"/>
  <c r="J164" i="33"/>
  <c r="J159" i="33"/>
  <c r="J144" i="33"/>
  <c r="H142" i="33"/>
  <c r="M17" i="33"/>
  <c r="O156" i="33"/>
  <c r="O145" i="33"/>
  <c r="J165" i="33"/>
  <c r="J153" i="33"/>
  <c r="H157" i="33"/>
  <c r="J142" i="33"/>
  <c r="O144" i="33"/>
  <c r="O164" i="33"/>
  <c r="O163" i="33"/>
  <c r="J143" i="33"/>
  <c r="O158" i="33"/>
  <c r="O157" i="33"/>
  <c r="O161" i="33"/>
  <c r="J160" i="33"/>
  <c r="J163" i="33"/>
  <c r="I17" i="33"/>
  <c r="E17" i="33"/>
  <c r="E142" i="33" s="1"/>
  <c r="D151" i="33"/>
  <c r="D142" i="33"/>
  <c r="O151" i="33"/>
  <c r="O150" i="33"/>
  <c r="P158" i="33"/>
  <c r="O142" i="33"/>
  <c r="J158" i="33"/>
  <c r="H164" i="33"/>
  <c r="G17" i="33"/>
  <c r="O153" i="33"/>
  <c r="H160" i="33"/>
  <c r="H143" i="33"/>
  <c r="O160" i="33"/>
  <c r="O143" i="33"/>
  <c r="J151" i="33"/>
  <c r="J156" i="33"/>
  <c r="H165" i="33"/>
  <c r="H159" i="33"/>
  <c r="H147" i="33"/>
  <c r="H141" i="33"/>
  <c r="O149" i="33"/>
  <c r="D143" i="33"/>
  <c r="J145" i="33"/>
  <c r="J161" i="33"/>
  <c r="J146" i="33"/>
  <c r="P157" i="33"/>
  <c r="L17" i="33"/>
  <c r="P151" i="33"/>
  <c r="H158" i="33"/>
  <c r="F157" i="33"/>
  <c r="N17" i="33"/>
  <c r="N157" i="33" s="1"/>
  <c r="F17" i="33"/>
  <c r="I166" i="33" l="1"/>
  <c r="I144" i="33"/>
  <c r="I146" i="33"/>
  <c r="I156" i="33"/>
  <c r="I163" i="33"/>
  <c r="I165" i="33"/>
  <c r="I157" i="33"/>
  <c r="I164" i="33"/>
  <c r="I145" i="33"/>
  <c r="I141" i="33"/>
  <c r="I159" i="33"/>
  <c r="I151" i="33"/>
  <c r="I147" i="33"/>
  <c r="I153" i="33"/>
  <c r="I161" i="33"/>
  <c r="I158" i="33"/>
  <c r="I143" i="33"/>
  <c r="I160" i="33"/>
  <c r="I142" i="33"/>
  <c r="M166" i="33"/>
  <c r="M150" i="33"/>
  <c r="M160" i="33"/>
  <c r="M144" i="33"/>
  <c r="M165" i="33"/>
  <c r="M141" i="33"/>
  <c r="M164" i="33"/>
  <c r="M143" i="33"/>
  <c r="M153" i="33"/>
  <c r="M161" i="33"/>
  <c r="M163" i="33"/>
  <c r="M146" i="33"/>
  <c r="M145" i="33"/>
  <c r="M147" i="33"/>
  <c r="M151" i="33"/>
  <c r="M158" i="33"/>
  <c r="M156" i="33"/>
  <c r="M159" i="33"/>
  <c r="M142" i="33"/>
  <c r="L166" i="33"/>
  <c r="L157" i="33"/>
  <c r="L164" i="33"/>
  <c r="L150" i="33"/>
  <c r="L160" i="33"/>
  <c r="L143" i="33"/>
  <c r="L146" i="33"/>
  <c r="L141" i="33"/>
  <c r="L153" i="33"/>
  <c r="L144" i="33"/>
  <c r="L147" i="33"/>
  <c r="L161" i="33"/>
  <c r="L163" i="33"/>
  <c r="L151" i="33"/>
  <c r="L145" i="33"/>
  <c r="L165" i="33"/>
  <c r="L159" i="33"/>
  <c r="L156" i="33"/>
  <c r="L158" i="33"/>
  <c r="L142" i="33"/>
  <c r="M157" i="33"/>
  <c r="E166" i="33"/>
  <c r="E143" i="33"/>
  <c r="E153" i="33"/>
  <c r="E145" i="33"/>
  <c r="E156" i="33"/>
  <c r="E161" i="33"/>
  <c r="E159" i="33"/>
  <c r="E141" i="33"/>
  <c r="E151" i="33"/>
  <c r="E147" i="33"/>
  <c r="E158" i="33"/>
  <c r="E160" i="33"/>
  <c r="E144" i="33"/>
  <c r="E164" i="33"/>
  <c r="E146" i="33"/>
  <c r="E165" i="33"/>
  <c r="G166" i="33"/>
  <c r="G142" i="33"/>
  <c r="G143" i="33"/>
  <c r="G160" i="33"/>
  <c r="G145" i="33"/>
  <c r="G147" i="33"/>
  <c r="G153" i="33"/>
  <c r="G159" i="33"/>
  <c r="G151" i="33"/>
  <c r="G161" i="33"/>
  <c r="G164" i="33"/>
  <c r="G165" i="33"/>
  <c r="G141" i="33"/>
  <c r="G158" i="33"/>
  <c r="G144" i="33"/>
  <c r="G146" i="33"/>
  <c r="G156" i="33"/>
  <c r="G163" i="33"/>
  <c r="E157" i="33"/>
  <c r="G157" i="33"/>
  <c r="F165" i="33"/>
  <c r="F159" i="33"/>
  <c r="F156" i="33"/>
  <c r="F153" i="33"/>
  <c r="F166" i="33"/>
  <c r="F163" i="33"/>
  <c r="F160" i="33"/>
  <c r="F161" i="33"/>
  <c r="F145" i="33"/>
  <c r="F141" i="33"/>
  <c r="F147" i="33"/>
  <c r="F143" i="33"/>
  <c r="F146" i="33"/>
  <c r="F144" i="33"/>
  <c r="F164" i="33"/>
  <c r="F151" i="33"/>
  <c r="F158" i="33"/>
  <c r="N165" i="33"/>
  <c r="N163" i="33"/>
  <c r="N160" i="33"/>
  <c r="N150" i="33"/>
  <c r="N161" i="33"/>
  <c r="N156" i="33"/>
  <c r="N166" i="33"/>
  <c r="N159" i="33"/>
  <c r="N153" i="33"/>
  <c r="N145" i="33"/>
  <c r="N141" i="33"/>
  <c r="N146" i="33"/>
  <c r="N147" i="33"/>
  <c r="N143" i="33"/>
  <c r="N158" i="33"/>
  <c r="N144" i="33"/>
  <c r="N151" i="33"/>
  <c r="N164" i="33"/>
  <c r="N142" i="33"/>
  <c r="F142" i="33"/>
  <c r="I31" i="29" l="1"/>
  <c r="I32" i="29"/>
  <c r="I33" i="29"/>
  <c r="I34" i="29"/>
  <c r="I35" i="29"/>
  <c r="I36" i="29"/>
  <c r="I37" i="29"/>
  <c r="I38" i="29"/>
  <c r="I39" i="29"/>
  <c r="I40" i="29"/>
  <c r="I41" i="29"/>
  <c r="I42" i="29"/>
  <c r="I43" i="29"/>
  <c r="I44" i="29"/>
  <c r="I45" i="29"/>
  <c r="I46" i="29"/>
  <c r="I47" i="29"/>
  <c r="I48" i="29"/>
  <c r="I49" i="29"/>
  <c r="I50" i="29"/>
  <c r="I51" i="29"/>
  <c r="I52" i="29"/>
  <c r="I53" i="29"/>
  <c r="I54" i="29"/>
  <c r="I55" i="29"/>
  <c r="I56" i="29"/>
  <c r="I57" i="29"/>
  <c r="I58" i="29"/>
  <c r="I59" i="29"/>
  <c r="I60" i="29"/>
  <c r="I61" i="29"/>
  <c r="I62" i="29"/>
  <c r="I63" i="29"/>
  <c r="I64" i="29"/>
  <c r="I65" i="29"/>
  <c r="I66" i="29"/>
  <c r="I67" i="29"/>
  <c r="I68" i="29"/>
  <c r="I69" i="29"/>
  <c r="I70" i="29"/>
  <c r="I71" i="29"/>
  <c r="I72" i="29"/>
  <c r="I73" i="29"/>
  <c r="I74" i="29"/>
  <c r="I75" i="29"/>
  <c r="I76" i="29"/>
  <c r="I77" i="29"/>
  <c r="I78" i="29"/>
  <c r="I79" i="29"/>
  <c r="I80" i="29"/>
  <c r="I81" i="29"/>
  <c r="I82" i="29"/>
  <c r="I30" i="29"/>
  <c r="BK140" i="30" l="1"/>
  <c r="BK151" i="30" s="1"/>
  <c r="BK141" i="30"/>
  <c r="BK152" i="30" s="1"/>
  <c r="G75" i="11"/>
  <c r="E76" i="11"/>
  <c r="F76" i="11"/>
  <c r="F94" i="11" s="1"/>
  <c r="B77" i="11"/>
  <c r="B94" i="11" s="1"/>
  <c r="E77" i="11"/>
  <c r="G77" i="11"/>
  <c r="B78" i="11"/>
  <c r="C78" i="11"/>
  <c r="D78" i="11"/>
  <c r="E78" i="11"/>
  <c r="D79" i="11"/>
  <c r="C80" i="11"/>
  <c r="E80" i="11"/>
  <c r="B81" i="11"/>
  <c r="D81" i="11"/>
  <c r="E81" i="11"/>
  <c r="G81" i="11"/>
  <c r="D82" i="11"/>
  <c r="E82" i="11"/>
  <c r="G82" i="11"/>
  <c r="B83" i="11"/>
  <c r="D84" i="11"/>
  <c r="B85" i="11"/>
  <c r="F85" i="11"/>
  <c r="C86" i="11"/>
  <c r="D86" i="11"/>
  <c r="E86" i="11"/>
  <c r="B87" i="11"/>
  <c r="F87" i="11"/>
  <c r="G87" i="11"/>
  <c r="C88" i="11"/>
  <c r="D88" i="11"/>
  <c r="B89" i="11"/>
  <c r="G89" i="11"/>
  <c r="D90" i="11"/>
  <c r="B91" i="11"/>
  <c r="C91" i="11"/>
  <c r="D91" i="11"/>
  <c r="G91" i="11"/>
  <c r="B92" i="11"/>
  <c r="G92" i="11"/>
  <c r="D93" i="11"/>
  <c r="E73" i="11"/>
  <c r="E94" i="11" s="1"/>
  <c r="G73" i="11"/>
  <c r="G94" i="11" s="1"/>
  <c r="C72" i="11"/>
  <c r="D72" i="11"/>
  <c r="E72" i="11"/>
  <c r="F72" i="11"/>
  <c r="G72" i="11"/>
  <c r="B72" i="11"/>
  <c r="R48" i="28"/>
  <c r="S48" i="28"/>
  <c r="Q49" i="28"/>
  <c r="R49" i="28"/>
  <c r="Q50" i="28"/>
  <c r="S50" i="28"/>
  <c r="T50" i="28"/>
  <c r="U50" i="28"/>
  <c r="Q51" i="28"/>
  <c r="R51" i="28"/>
  <c r="S51" i="28"/>
  <c r="T51" i="28"/>
  <c r="Q52" i="28"/>
  <c r="R52" i="28"/>
  <c r="S52" i="28"/>
  <c r="R53" i="28"/>
  <c r="S53" i="28"/>
  <c r="T53" i="28"/>
  <c r="U53" i="28"/>
  <c r="Q54" i="28"/>
  <c r="R54" i="28"/>
  <c r="S54" i="28"/>
  <c r="T54" i="28"/>
  <c r="Q55" i="28"/>
  <c r="R56" i="28"/>
  <c r="S56" i="28"/>
  <c r="T56" i="28"/>
  <c r="U56" i="28"/>
  <c r="Q57" i="28"/>
  <c r="T57" i="28"/>
  <c r="Q58" i="28"/>
  <c r="R58" i="28"/>
  <c r="S58" i="28"/>
  <c r="T58" i="28"/>
  <c r="S59" i="28"/>
  <c r="R60" i="28"/>
  <c r="T60" i="28"/>
  <c r="Q61" i="28"/>
  <c r="S61" i="28"/>
  <c r="T61" i="28"/>
  <c r="R62" i="28"/>
  <c r="S62" i="28"/>
  <c r="T62" i="28"/>
  <c r="F63" i="28"/>
  <c r="F64" i="28" s="1"/>
  <c r="F65" i="28" s="1"/>
  <c r="F66" i="28" s="1"/>
  <c r="F67" i="28" s="1"/>
  <c r="F68" i="28" s="1"/>
  <c r="F69" i="28" s="1"/>
  <c r="F70" i="28" s="1"/>
  <c r="F71" i="28" s="1"/>
  <c r="F72" i="28" s="1"/>
  <c r="F73" i="28" s="1"/>
  <c r="F74" i="28" s="1"/>
  <c r="F75" i="28" s="1"/>
  <c r="F76" i="28" s="1"/>
  <c r="F77" i="28" s="1"/>
  <c r="F78" i="28" s="1"/>
  <c r="F79" i="28" s="1"/>
  <c r="F80" i="28" s="1"/>
  <c r="F81" i="28" s="1"/>
  <c r="F82" i="28" s="1"/>
  <c r="F83" i="28" s="1"/>
  <c r="F84" i="28" s="1"/>
  <c r="F85" i="28" s="1"/>
  <c r="Q63" i="28"/>
  <c r="Q64" i="28"/>
  <c r="R64" i="28"/>
  <c r="S64" i="28"/>
  <c r="T64" i="28"/>
  <c r="Q65" i="28"/>
  <c r="U65" i="28"/>
  <c r="R66" i="28"/>
  <c r="S66" i="28"/>
  <c r="T66" i="28"/>
  <c r="U66" i="28"/>
  <c r="Q67" i="28"/>
  <c r="T67" i="28"/>
  <c r="U67" i="28"/>
  <c r="R68" i="28"/>
  <c r="S68" i="28"/>
  <c r="T68" i="28"/>
  <c r="Q69" i="28"/>
  <c r="R69" i="28"/>
  <c r="T69" i="28"/>
  <c r="S70" i="28"/>
  <c r="T70" i="28"/>
  <c r="Q71" i="28"/>
  <c r="R71" i="28"/>
  <c r="S71" i="28"/>
  <c r="Q72" i="28"/>
  <c r="R72" i="28"/>
  <c r="T72" i="28"/>
  <c r="S73" i="28"/>
  <c r="T73" i="28"/>
  <c r="W78" i="28"/>
  <c r="Y78" i="28"/>
  <c r="Z78" i="28"/>
  <c r="AB78" i="28"/>
  <c r="AG78" i="28"/>
  <c r="AH78" i="28"/>
  <c r="AI78" i="28"/>
  <c r="AK78" i="28"/>
  <c r="W79" i="28"/>
  <c r="Y79" i="28"/>
  <c r="Z79" i="28"/>
  <c r="AB79" i="28"/>
  <c r="AG79" i="28"/>
  <c r="AH79" i="28"/>
  <c r="AI79" i="28"/>
  <c r="AK79" i="28"/>
  <c r="W80" i="28"/>
  <c r="X80" i="28"/>
  <c r="Y80" i="28"/>
  <c r="Z80" i="28"/>
  <c r="AB80" i="28"/>
  <c r="AE80" i="28"/>
  <c r="AG80" i="28"/>
  <c r="AH80" i="28"/>
  <c r="AI80" i="28"/>
  <c r="AK80" i="28"/>
  <c r="V81" i="28"/>
  <c r="W81" i="28"/>
  <c r="Y81" i="28"/>
  <c r="Z81" i="28"/>
  <c r="AB81" i="28"/>
  <c r="AF81" i="28"/>
  <c r="AG81" i="28"/>
  <c r="AH81" i="28"/>
  <c r="AI81" i="28"/>
  <c r="AK81" i="28"/>
  <c r="V82" i="28"/>
  <c r="W82" i="28"/>
  <c r="Y82" i="28"/>
  <c r="Z82" i="28"/>
  <c r="AB82" i="28"/>
  <c r="AF82" i="28"/>
  <c r="AG82" i="28"/>
  <c r="AH82" i="28"/>
  <c r="AI82" i="28"/>
  <c r="AK82" i="28"/>
  <c r="V83" i="28"/>
  <c r="W83" i="28"/>
  <c r="Y83" i="28"/>
  <c r="Z83" i="28"/>
  <c r="AB83" i="28"/>
  <c r="AF83" i="28"/>
  <c r="AG83" i="28"/>
  <c r="AH83" i="28"/>
  <c r="AI83" i="28"/>
  <c r="AK83" i="28"/>
  <c r="V84" i="28"/>
  <c r="W84" i="28"/>
  <c r="X84" i="28"/>
  <c r="Y84" i="28"/>
  <c r="Z84" i="28"/>
  <c r="AA84" i="28"/>
  <c r="AB84" i="28"/>
  <c r="AE84" i="28"/>
  <c r="AF84" i="28"/>
  <c r="AG84" i="28"/>
  <c r="AH84" i="28"/>
  <c r="AI84" i="28"/>
  <c r="AJ84" i="28"/>
  <c r="AK84" i="28"/>
  <c r="V85" i="28"/>
  <c r="W85" i="28"/>
  <c r="Y85" i="28"/>
  <c r="Z85" i="28"/>
  <c r="AB85" i="28"/>
  <c r="AF85" i="28"/>
  <c r="AG85" i="28"/>
  <c r="AH85" i="28"/>
  <c r="AI85" i="28"/>
  <c r="AK85" i="28"/>
  <c r="F86" i="28"/>
  <c r="V86" i="28"/>
  <c r="W86" i="28"/>
  <c r="X86" i="28"/>
  <c r="Y86" i="28"/>
  <c r="Z86" i="28"/>
  <c r="AB86" i="28"/>
  <c r="AD86" i="28"/>
  <c r="AE86" i="28"/>
  <c r="AF86" i="28"/>
  <c r="AG86" i="28"/>
  <c r="AH86" i="28"/>
  <c r="AI86" i="28"/>
  <c r="AK86" i="28"/>
  <c r="AL86" i="28"/>
  <c r="V87" i="28"/>
  <c r="W87" i="28"/>
  <c r="Y87" i="28"/>
  <c r="Z87" i="28"/>
  <c r="AA87" i="28"/>
  <c r="AB87" i="28"/>
  <c r="AD87" i="28"/>
  <c r="AF87" i="28"/>
  <c r="AG87" i="28"/>
  <c r="AH87" i="28"/>
  <c r="AI87" i="28"/>
  <c r="AJ87" i="28"/>
  <c r="AK87" i="28"/>
  <c r="AL87" i="28"/>
  <c r="V88" i="28"/>
  <c r="W88" i="28"/>
  <c r="X88" i="28"/>
  <c r="Y88" i="28"/>
  <c r="Z88" i="28"/>
  <c r="AA88" i="28"/>
  <c r="AB88" i="28"/>
  <c r="AD88" i="28"/>
  <c r="AE88" i="28"/>
  <c r="AF88" i="28"/>
  <c r="AG88" i="28"/>
  <c r="AH88" i="28"/>
  <c r="AI88" i="28"/>
  <c r="AJ88" i="28"/>
  <c r="AK88" i="28"/>
  <c r="AL88" i="28"/>
  <c r="V89" i="28"/>
  <c r="W89" i="28"/>
  <c r="X89" i="28"/>
  <c r="Y89" i="28"/>
  <c r="Z89" i="28"/>
  <c r="AA89" i="28"/>
  <c r="AB89" i="28"/>
  <c r="AD89" i="28"/>
  <c r="AE89" i="28"/>
  <c r="AF89" i="28"/>
  <c r="AG89" i="28"/>
  <c r="AI89" i="28"/>
  <c r="AJ89" i="28"/>
  <c r="AK89" i="28"/>
  <c r="AL89" i="28"/>
  <c r="P90" i="28"/>
  <c r="W90" i="28"/>
  <c r="X90" i="28"/>
  <c r="Y90" i="28"/>
  <c r="Z90" i="28"/>
  <c r="AA90" i="28"/>
  <c r="AC90" i="28"/>
  <c r="AE90" i="28"/>
  <c r="AF90" i="28"/>
  <c r="AG90" i="28"/>
  <c r="AI90" i="28"/>
  <c r="AJ90" i="28"/>
  <c r="AK90" i="28"/>
  <c r="AM90" i="28"/>
  <c r="AN90" i="28"/>
  <c r="P91" i="28"/>
  <c r="W91" i="28"/>
  <c r="AE91" i="28"/>
  <c r="AF91" i="28"/>
  <c r="AG91" i="28"/>
  <c r="AI91" i="28"/>
  <c r="AK91" i="28"/>
  <c r="AL91" i="28"/>
  <c r="P92" i="28"/>
  <c r="AE92" i="28"/>
  <c r="AG92" i="28"/>
  <c r="AI92" i="28"/>
  <c r="AK92" i="28"/>
  <c r="AL92" i="28"/>
  <c r="P93" i="28"/>
  <c r="AE93" i="28"/>
  <c r="AJ93" i="28"/>
  <c r="BK136" i="30"/>
  <c r="BK147" i="30" s="1"/>
  <c r="BK137" i="30"/>
  <c r="BK148" i="30" s="1"/>
  <c r="BK138" i="30"/>
  <c r="BK149" i="30" s="1"/>
  <c r="BK139" i="30"/>
  <c r="BK150" i="30" s="1"/>
  <c r="C139" i="30"/>
  <c r="C138" i="30"/>
  <c r="N334" i="30"/>
  <c r="N333" i="30"/>
  <c r="N332" i="30"/>
  <c r="N331" i="30"/>
  <c r="N330" i="30"/>
  <c r="N329" i="30"/>
  <c r="N328" i="30"/>
  <c r="N327" i="30"/>
  <c r="N326" i="30"/>
  <c r="N325" i="30"/>
  <c r="N324" i="30"/>
  <c r="N323" i="30"/>
  <c r="N322" i="30"/>
  <c r="N321" i="30"/>
  <c r="N320" i="30"/>
  <c r="N319" i="30"/>
  <c r="N318" i="30"/>
  <c r="N317" i="30"/>
  <c r="N316" i="30"/>
  <c r="N315" i="30"/>
  <c r="N314" i="30"/>
  <c r="BJ297" i="30"/>
  <c r="BI297" i="30"/>
  <c r="BH297" i="30"/>
  <c r="BG297" i="30"/>
  <c r="BF297" i="30"/>
  <c r="BE297" i="30"/>
  <c r="BD297" i="30"/>
  <c r="BC297" i="30"/>
  <c r="BJ296" i="30"/>
  <c r="BI296" i="30"/>
  <c r="BH296" i="30"/>
  <c r="BG296" i="30"/>
  <c r="BF296" i="30"/>
  <c r="BE296" i="30"/>
  <c r="BD296" i="30"/>
  <c r="BC296" i="30"/>
  <c r="BJ282" i="30"/>
  <c r="BJ278" i="30" s="1"/>
  <c r="BI282" i="30"/>
  <c r="BH282" i="30"/>
  <c r="BG282" i="30"/>
  <c r="BG247" i="30" s="1"/>
  <c r="BF282" i="30"/>
  <c r="BF247" i="30" s="1"/>
  <c r="BE282" i="30"/>
  <c r="BE35" i="30" s="1"/>
  <c r="BD282" i="30"/>
  <c r="BD278" i="30" s="1"/>
  <c r="BC282" i="30"/>
  <c r="BC278" i="30" s="1"/>
  <c r="BB282" i="30"/>
  <c r="BB278" i="30" s="1"/>
  <c r="BA282" i="30"/>
  <c r="BA278" i="30" s="1"/>
  <c r="AZ282" i="30"/>
  <c r="AY282" i="30"/>
  <c r="AY247" i="30" s="1"/>
  <c r="AX282" i="30"/>
  <c r="AX235" i="30" s="1"/>
  <c r="AW282" i="30"/>
  <c r="AW247" i="30" s="1"/>
  <c r="AV282" i="30"/>
  <c r="AV278" i="30" s="1"/>
  <c r="AU282" i="30"/>
  <c r="AU35" i="30" s="1"/>
  <c r="AT282" i="30"/>
  <c r="AT267" i="30" s="1"/>
  <c r="AS282" i="30"/>
  <c r="AR282" i="30"/>
  <c r="AQ282" i="30"/>
  <c r="AQ235" i="30" s="1"/>
  <c r="AP282" i="30"/>
  <c r="AP267" i="30" s="1"/>
  <c r="AO282" i="30"/>
  <c r="AO235" i="30" s="1"/>
  <c r="AN282" i="30"/>
  <c r="AN278" i="30" s="1"/>
  <c r="AM282" i="30"/>
  <c r="AM278" i="30" s="1"/>
  <c r="AL282" i="30"/>
  <c r="AL278" i="30" s="1"/>
  <c r="AK282" i="30"/>
  <c r="AK278" i="30" s="1"/>
  <c r="AJ282" i="30"/>
  <c r="AI282" i="30"/>
  <c r="AI235" i="30" s="1"/>
  <c r="AH282" i="30"/>
  <c r="AH36" i="30" s="1"/>
  <c r="AG282" i="30"/>
  <c r="AG267" i="30" s="1"/>
  <c r="AF282" i="30"/>
  <c r="AF278" i="30" s="1"/>
  <c r="AE282" i="30"/>
  <c r="AE267" i="30" s="1"/>
  <c r="AD282" i="30"/>
  <c r="AD267" i="30" s="1"/>
  <c r="AC282" i="30"/>
  <c r="AB282" i="30"/>
  <c r="AA282" i="30"/>
  <c r="AA235" i="30" s="1"/>
  <c r="Z282" i="30"/>
  <c r="Z278" i="30" s="1"/>
  <c r="Y282" i="30"/>
  <c r="Y247" i="30" s="1"/>
  <c r="X282" i="30"/>
  <c r="X278" i="30" s="1"/>
  <c r="W282" i="30"/>
  <c r="W36" i="30" s="1"/>
  <c r="V282" i="30"/>
  <c r="V267" i="30" s="1"/>
  <c r="U282" i="30"/>
  <c r="U278" i="30" s="1"/>
  <c r="T282" i="30"/>
  <c r="S282" i="30"/>
  <c r="S235" i="30" s="1"/>
  <c r="R282" i="30"/>
  <c r="R235" i="30" s="1"/>
  <c r="Q282" i="30"/>
  <c r="Q278" i="30" s="1"/>
  <c r="P282" i="30"/>
  <c r="P278" i="30" s="1"/>
  <c r="O282" i="30"/>
  <c r="O35" i="30" s="1"/>
  <c r="N282" i="30"/>
  <c r="N247" i="30" s="1"/>
  <c r="BJ281" i="30"/>
  <c r="BI281" i="30"/>
  <c r="BH281" i="30"/>
  <c r="BH234" i="30" s="1"/>
  <c r="BG281" i="30"/>
  <c r="BG246" i="30" s="1"/>
  <c r="BF281" i="30"/>
  <c r="BF234" i="30" s="1"/>
  <c r="BE281" i="30"/>
  <c r="BE272" i="30" s="1"/>
  <c r="BD281" i="30"/>
  <c r="BD246" i="30" s="1"/>
  <c r="BC281" i="30"/>
  <c r="BC246" i="30" s="1"/>
  <c r="BB281" i="30"/>
  <c r="BA281" i="30"/>
  <c r="AZ281" i="30"/>
  <c r="AZ234" i="30" s="1"/>
  <c r="AY281" i="30"/>
  <c r="AY246" i="30" s="1"/>
  <c r="AX281" i="30"/>
  <c r="AX246" i="30" s="1"/>
  <c r="AW281" i="30"/>
  <c r="AW234" i="30" s="1"/>
  <c r="AV281" i="30"/>
  <c r="AV32" i="30" s="1"/>
  <c r="AV33" i="30" s="1"/>
  <c r="AU281" i="30"/>
  <c r="AU246" i="30" s="1"/>
  <c r="AT281" i="30"/>
  <c r="AT234" i="30" s="1"/>
  <c r="AS281" i="30"/>
  <c r="AR281" i="30"/>
  <c r="AR234" i="30" s="1"/>
  <c r="AQ281" i="30"/>
  <c r="AQ234" i="30" s="1"/>
  <c r="AP281" i="30"/>
  <c r="AP32" i="30" s="1"/>
  <c r="AP33" i="30" s="1"/>
  <c r="AO281" i="30"/>
  <c r="AO272" i="30" s="1"/>
  <c r="AN281" i="30"/>
  <c r="AN272" i="30" s="1"/>
  <c r="AM281" i="30"/>
  <c r="AM272" i="30" s="1"/>
  <c r="AL281" i="30"/>
  <c r="AL234" i="30" s="1"/>
  <c r="AK281" i="30"/>
  <c r="AJ281" i="30"/>
  <c r="AJ234" i="30" s="1"/>
  <c r="AI281" i="30"/>
  <c r="AI246" i="30" s="1"/>
  <c r="AH281" i="30"/>
  <c r="AH246" i="30" s="1"/>
  <c r="AG281" i="30"/>
  <c r="AG246" i="30" s="1"/>
  <c r="AF281" i="30"/>
  <c r="AF272" i="30" s="1"/>
  <c r="AE281" i="30"/>
  <c r="AE246" i="30" s="1"/>
  <c r="AD281" i="30"/>
  <c r="AC281" i="30"/>
  <c r="AB281" i="30"/>
  <c r="AB234" i="30" s="1"/>
  <c r="AA281" i="30"/>
  <c r="AA32" i="30" s="1"/>
  <c r="AA33" i="30" s="1"/>
  <c r="Z281" i="30"/>
  <c r="Z272" i="30" s="1"/>
  <c r="Y281" i="30"/>
  <c r="Y246" i="30" s="1"/>
  <c r="X281" i="30"/>
  <c r="X246" i="30" s="1"/>
  <c r="W281" i="30"/>
  <c r="W246" i="30" s="1"/>
  <c r="V281" i="30"/>
  <c r="V272" i="30" s="1"/>
  <c r="U281" i="30"/>
  <c r="T281" i="30"/>
  <c r="T234" i="30" s="1"/>
  <c r="S281" i="30"/>
  <c r="S234" i="30" s="1"/>
  <c r="R281" i="30"/>
  <c r="R234" i="30" s="1"/>
  <c r="Q281" i="30"/>
  <c r="Q234" i="30" s="1"/>
  <c r="P281" i="30"/>
  <c r="P234" i="30" s="1"/>
  <c r="O281" i="30"/>
  <c r="O246" i="30" s="1"/>
  <c r="N281" i="30"/>
  <c r="N234" i="30" s="1"/>
  <c r="BH278" i="30"/>
  <c r="AZ278" i="30"/>
  <c r="AR278" i="30"/>
  <c r="AJ278" i="30"/>
  <c r="AB278" i="30"/>
  <c r="T278" i="30"/>
  <c r="BK275" i="30" a="1"/>
  <c r="BK275" i="30" s="1"/>
  <c r="BI272" i="30"/>
  <c r="BB272" i="30"/>
  <c r="BA272" i="30"/>
  <c r="AT272" i="30"/>
  <c r="AS272" i="30"/>
  <c r="AK272" i="30"/>
  <c r="AH272" i="30"/>
  <c r="AG272" i="30"/>
  <c r="AC272" i="30"/>
  <c r="U272" i="30"/>
  <c r="BK269" i="30" a="1"/>
  <c r="BK269" i="30" s="1"/>
  <c r="BH267" i="30"/>
  <c r="BD267" i="30"/>
  <c r="AZ267" i="30"/>
  <c r="AR267" i="30"/>
  <c r="AJ267" i="30"/>
  <c r="AB267" i="30"/>
  <c r="T267" i="30"/>
  <c r="BK262" i="30" a="1"/>
  <c r="BK262" i="30" s="1"/>
  <c r="BJ251" i="30"/>
  <c r="BI251" i="30"/>
  <c r="BI259" i="30" s="1"/>
  <c r="BH251" i="30"/>
  <c r="BG251" i="30"/>
  <c r="BF251" i="30"/>
  <c r="BE251" i="30"/>
  <c r="BD251" i="30"/>
  <c r="BC251" i="30"/>
  <c r="BB251" i="30"/>
  <c r="BA251" i="30"/>
  <c r="BA259" i="30" s="1"/>
  <c r="AZ251" i="30"/>
  <c r="AY251" i="30"/>
  <c r="AY259" i="30" s="1"/>
  <c r="AX251" i="30"/>
  <c r="AW251" i="30"/>
  <c r="AV251" i="30"/>
  <c r="AU251" i="30"/>
  <c r="AT251" i="30"/>
  <c r="AS251" i="30"/>
  <c r="AS259" i="30" s="1"/>
  <c r="AR251" i="30"/>
  <c r="AQ251" i="30"/>
  <c r="AP251" i="30"/>
  <c r="AO251" i="30"/>
  <c r="AN251" i="30"/>
  <c r="AM251" i="30"/>
  <c r="AL251" i="30"/>
  <c r="AK251" i="30"/>
  <c r="AJ251" i="30"/>
  <c r="AI251" i="30"/>
  <c r="AH251" i="30"/>
  <c r="AG251" i="30"/>
  <c r="AF251" i="30"/>
  <c r="AE251" i="30"/>
  <c r="AD251" i="30"/>
  <c r="AC251" i="30"/>
  <c r="AB251" i="30"/>
  <c r="AA251" i="30"/>
  <c r="Z251" i="30"/>
  <c r="Y251" i="30"/>
  <c r="X251" i="30"/>
  <c r="W251" i="30"/>
  <c r="V251" i="30"/>
  <c r="U251" i="30"/>
  <c r="U259" i="30" s="1"/>
  <c r="T251" i="30"/>
  <c r="S251" i="30"/>
  <c r="R251" i="30"/>
  <c r="Q251" i="30"/>
  <c r="P251" i="30"/>
  <c r="O251" i="30"/>
  <c r="N251" i="30"/>
  <c r="BJ250" i="30"/>
  <c r="BJ252" i="30" s="1"/>
  <c r="BI250" i="30"/>
  <c r="BH250" i="30"/>
  <c r="BG250" i="30"/>
  <c r="BF250" i="30"/>
  <c r="BE250" i="30"/>
  <c r="BD250" i="30"/>
  <c r="BC250" i="30"/>
  <c r="BB250" i="30"/>
  <c r="BB258" i="30" s="1"/>
  <c r="BA250" i="30"/>
  <c r="AZ250" i="30"/>
  <c r="AY250" i="30"/>
  <c r="AX250" i="30"/>
  <c r="AW250" i="30"/>
  <c r="AV250" i="30"/>
  <c r="AU250" i="30"/>
  <c r="AT250" i="30"/>
  <c r="AT252" i="30" s="1"/>
  <c r="AS250" i="30"/>
  <c r="AR250" i="30"/>
  <c r="AQ250" i="30"/>
  <c r="AP250" i="30"/>
  <c r="AO250" i="30"/>
  <c r="AN250" i="30"/>
  <c r="AM250" i="30"/>
  <c r="AL250" i="30"/>
  <c r="AL258" i="30" s="1"/>
  <c r="AK250" i="30"/>
  <c r="AJ250" i="30"/>
  <c r="AI250" i="30"/>
  <c r="AH250" i="30"/>
  <c r="AH252" i="30" s="1"/>
  <c r="AG250" i="30"/>
  <c r="AF250" i="30"/>
  <c r="AE250" i="30"/>
  <c r="AD250" i="30"/>
  <c r="AD252" i="30" s="1"/>
  <c r="AC250" i="30"/>
  <c r="AB250" i="30"/>
  <c r="AA250" i="30"/>
  <c r="Z250" i="30"/>
  <c r="Z252" i="30" s="1"/>
  <c r="Y250" i="30"/>
  <c r="X250" i="30"/>
  <c r="W250" i="30"/>
  <c r="V250" i="30"/>
  <c r="V252" i="30" s="1"/>
  <c r="U250" i="30"/>
  <c r="T250" i="30"/>
  <c r="S250" i="30"/>
  <c r="R250" i="30"/>
  <c r="Q250" i="30"/>
  <c r="P250" i="30"/>
  <c r="O250" i="30"/>
  <c r="N250" i="30"/>
  <c r="N258" i="30" s="1"/>
  <c r="BH247" i="30"/>
  <c r="AZ247" i="30"/>
  <c r="AR247" i="30"/>
  <c r="AN247" i="30"/>
  <c r="AJ247" i="30"/>
  <c r="AI247" i="30"/>
  <c r="AB247" i="30"/>
  <c r="AA247" i="30"/>
  <c r="T247" i="30"/>
  <c r="S247" i="30"/>
  <c r="R247" i="30"/>
  <c r="BI246" i="30"/>
  <c r="BA246" i="30"/>
  <c r="AZ246" i="30"/>
  <c r="AS246" i="30"/>
  <c r="AK246" i="30"/>
  <c r="AJ246" i="30"/>
  <c r="AC246" i="30"/>
  <c r="AB246" i="30"/>
  <c r="U246" i="30"/>
  <c r="BJ240" i="30"/>
  <c r="BI240" i="30"/>
  <c r="BH240" i="30"/>
  <c r="BG240" i="30"/>
  <c r="BF240" i="30"/>
  <c r="BE240" i="30"/>
  <c r="BD240" i="30"/>
  <c r="BC240" i="30"/>
  <c r="BB240" i="30"/>
  <c r="BA240" i="30"/>
  <c r="AZ240" i="30"/>
  <c r="AY240" i="30"/>
  <c r="AX240" i="30"/>
  <c r="AW240" i="30"/>
  <c r="AV240" i="30"/>
  <c r="AU240" i="30"/>
  <c r="AT240" i="30"/>
  <c r="AS240" i="30"/>
  <c r="AR240" i="30"/>
  <c r="AQ240" i="30"/>
  <c r="AP240" i="30"/>
  <c r="AO240" i="30"/>
  <c r="AN240" i="30"/>
  <c r="AM240" i="30"/>
  <c r="AL240" i="30"/>
  <c r="AK240" i="30"/>
  <c r="AJ240" i="30"/>
  <c r="AI240" i="30"/>
  <c r="AH240" i="30"/>
  <c r="AG240" i="30"/>
  <c r="AF240" i="30"/>
  <c r="AE240" i="30"/>
  <c r="AD240" i="30"/>
  <c r="AC240" i="30"/>
  <c r="AB240" i="30"/>
  <c r="AA240" i="30"/>
  <c r="Z240" i="30"/>
  <c r="Y240" i="30"/>
  <c r="X240" i="30"/>
  <c r="W240" i="30"/>
  <c r="V240" i="30"/>
  <c r="U240" i="30"/>
  <c r="T240" i="30"/>
  <c r="S240" i="30"/>
  <c r="R240" i="30"/>
  <c r="Q240" i="30"/>
  <c r="P240" i="30"/>
  <c r="O240" i="30"/>
  <c r="N240" i="30"/>
  <c r="BK238" i="30" a="1"/>
  <c r="BK238" i="30" s="1"/>
  <c r="BK183" i="30" s="1"/>
  <c r="BK169" i="30" s="1"/>
  <c r="BI235" i="30"/>
  <c r="BH235" i="30"/>
  <c r="BA235" i="30"/>
  <c r="AZ235" i="30"/>
  <c r="AS235" i="30"/>
  <c r="AR235" i="30"/>
  <c r="AK235" i="30"/>
  <c r="AJ235" i="30"/>
  <c r="AC235" i="30"/>
  <c r="AB235" i="30"/>
  <c r="X235" i="30"/>
  <c r="U235" i="30"/>
  <c r="T235" i="30"/>
  <c r="BI234" i="30"/>
  <c r="BG234" i="30"/>
  <c r="BA234" i="30"/>
  <c r="AY234" i="30"/>
  <c r="AV234" i="30"/>
  <c r="AS234" i="30"/>
  <c r="AK234" i="30"/>
  <c r="AC234" i="30"/>
  <c r="AA234" i="30"/>
  <c r="Z234" i="30"/>
  <c r="U234" i="30"/>
  <c r="BJ228" i="30"/>
  <c r="BI228" i="30"/>
  <c r="BH228" i="30"/>
  <c r="BG228" i="30"/>
  <c r="BF228" i="30"/>
  <c r="BE228" i="30"/>
  <c r="BD228" i="30"/>
  <c r="BC228" i="30"/>
  <c r="BB228" i="30"/>
  <c r="BA228" i="30"/>
  <c r="AZ228" i="30"/>
  <c r="AY228" i="30"/>
  <c r="AX228" i="30"/>
  <c r="AW228" i="30"/>
  <c r="AV228" i="30"/>
  <c r="AU228" i="30"/>
  <c r="AT228" i="30"/>
  <c r="AS228" i="30"/>
  <c r="AR228" i="30"/>
  <c r="AQ228" i="30"/>
  <c r="AP228" i="30"/>
  <c r="AO228" i="30"/>
  <c r="AN228" i="30"/>
  <c r="AM228" i="30"/>
  <c r="AL228" i="30"/>
  <c r="AK228" i="30"/>
  <c r="AJ228" i="30"/>
  <c r="AI228" i="30"/>
  <c r="AH228" i="30"/>
  <c r="AG228" i="30"/>
  <c r="AF228" i="30"/>
  <c r="AE228" i="30"/>
  <c r="AD228" i="30"/>
  <c r="AC228" i="30"/>
  <c r="AB228" i="30"/>
  <c r="AA228" i="30"/>
  <c r="Z228" i="30"/>
  <c r="Y228" i="30"/>
  <c r="X228" i="30"/>
  <c r="W228" i="30"/>
  <c r="V228" i="30"/>
  <c r="U228" i="30"/>
  <c r="T228" i="30"/>
  <c r="S228" i="30"/>
  <c r="R228" i="30"/>
  <c r="Q228" i="30"/>
  <c r="P228" i="30"/>
  <c r="O228" i="30"/>
  <c r="N228" i="30"/>
  <c r="BK226" i="30" a="1"/>
  <c r="BK226" i="30" s="1"/>
  <c r="BK182" i="30" s="1"/>
  <c r="BJ132" i="30"/>
  <c r="BI132" i="30"/>
  <c r="BH132" i="30"/>
  <c r="BG132" i="30"/>
  <c r="BF132" i="30"/>
  <c r="BE132" i="30"/>
  <c r="BD132" i="30"/>
  <c r="BC132" i="30"/>
  <c r="BB132" i="30"/>
  <c r="BA132" i="30"/>
  <c r="AZ132" i="30"/>
  <c r="AY132" i="30"/>
  <c r="AX132" i="30"/>
  <c r="AW132" i="30"/>
  <c r="AV132" i="30"/>
  <c r="AU132" i="30"/>
  <c r="AT132" i="30"/>
  <c r="AS132" i="30"/>
  <c r="AR132" i="30"/>
  <c r="AQ132" i="30"/>
  <c r="AP132" i="30"/>
  <c r="AO132" i="30"/>
  <c r="AN132" i="30"/>
  <c r="AM132" i="30"/>
  <c r="AL132" i="30"/>
  <c r="AK132" i="30"/>
  <c r="AJ132" i="30"/>
  <c r="AI132" i="30"/>
  <c r="AH132" i="30"/>
  <c r="AG132" i="30"/>
  <c r="AF132" i="30"/>
  <c r="AE132" i="30"/>
  <c r="AD132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H132" i="30"/>
  <c r="G132" i="30"/>
  <c r="F132" i="30"/>
  <c r="E132" i="30"/>
  <c r="D132" i="30"/>
  <c r="BJ131" i="30"/>
  <c r="BI131" i="30"/>
  <c r="BH131" i="30"/>
  <c r="BG131" i="30"/>
  <c r="BF131" i="30"/>
  <c r="BE131" i="30"/>
  <c r="BD131" i="30"/>
  <c r="BC131" i="30"/>
  <c r="BB131" i="30"/>
  <c r="BA131" i="30"/>
  <c r="AZ131" i="30"/>
  <c r="AY131" i="30"/>
  <c r="AX131" i="30"/>
  <c r="AW131" i="30"/>
  <c r="AV131" i="30"/>
  <c r="AU131" i="30"/>
  <c r="AT131" i="30"/>
  <c r="AS131" i="30"/>
  <c r="AR131" i="30"/>
  <c r="AQ131" i="30"/>
  <c r="AP131" i="30"/>
  <c r="AO131" i="30"/>
  <c r="AN131" i="30"/>
  <c r="AM131" i="30"/>
  <c r="AL131" i="30"/>
  <c r="AK131" i="30"/>
  <c r="AJ131" i="30"/>
  <c r="AI131" i="30"/>
  <c r="AH131" i="30"/>
  <c r="AG131" i="30"/>
  <c r="AF131" i="30"/>
  <c r="AE131" i="30"/>
  <c r="AD131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H131" i="30"/>
  <c r="G131" i="30"/>
  <c r="F131" i="30"/>
  <c r="E131" i="30"/>
  <c r="D131" i="30"/>
  <c r="BJ130" i="30"/>
  <c r="BJ265" i="30" s="1"/>
  <c r="BI130" i="30"/>
  <c r="BI265" i="30" s="1"/>
  <c r="BH130" i="30"/>
  <c r="BH265" i="30" s="1"/>
  <c r="BG130" i="30"/>
  <c r="BG265" i="30" s="1"/>
  <c r="BF130" i="30"/>
  <c r="BF265" i="30" s="1"/>
  <c r="BE130" i="30"/>
  <c r="BE265" i="30" s="1"/>
  <c r="BD130" i="30"/>
  <c r="BD265" i="30" s="1"/>
  <c r="BC130" i="30"/>
  <c r="BC265" i="30" s="1"/>
  <c r="BB130" i="30"/>
  <c r="BA130" i="30"/>
  <c r="AZ130" i="30"/>
  <c r="AY130" i="30"/>
  <c r="AX130" i="30"/>
  <c r="AW130" i="30"/>
  <c r="AV130" i="30"/>
  <c r="AU130" i="30"/>
  <c r="AT130" i="30"/>
  <c r="AS130" i="30"/>
  <c r="AR130" i="30"/>
  <c r="AQ130" i="30"/>
  <c r="AP130" i="30"/>
  <c r="AO130" i="30"/>
  <c r="AN130" i="30"/>
  <c r="AM130" i="30"/>
  <c r="AL130" i="30"/>
  <c r="AK130" i="30"/>
  <c r="AJ130" i="30"/>
  <c r="AI130" i="30"/>
  <c r="AH130" i="30"/>
  <c r="AG130" i="30"/>
  <c r="AF130" i="30"/>
  <c r="AE130" i="30"/>
  <c r="AD130" i="30"/>
  <c r="AD265" i="30" s="1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R263" i="30" s="1"/>
  <c r="R264" i="30" s="1"/>
  <c r="Q130" i="30"/>
  <c r="P130" i="30"/>
  <c r="O130" i="30"/>
  <c r="N130" i="30"/>
  <c r="M130" i="30"/>
  <c r="L130" i="30"/>
  <c r="K130" i="30"/>
  <c r="J130" i="30"/>
  <c r="I130" i="30"/>
  <c r="H130" i="30"/>
  <c r="G130" i="30"/>
  <c r="F130" i="30"/>
  <c r="E130" i="30"/>
  <c r="D130" i="30"/>
  <c r="BJ129" i="30"/>
  <c r="BI129" i="30"/>
  <c r="BH129" i="30"/>
  <c r="BG129" i="30"/>
  <c r="BF129" i="30"/>
  <c r="BF242" i="30" s="1"/>
  <c r="BE129" i="30"/>
  <c r="BD129" i="30"/>
  <c r="BC129" i="30"/>
  <c r="BC242" i="30" s="1"/>
  <c r="BB129" i="30"/>
  <c r="BB243" i="30" s="1"/>
  <c r="BA129" i="30"/>
  <c r="AZ129" i="30"/>
  <c r="AY129" i="30"/>
  <c r="AX129" i="30"/>
  <c r="AX243" i="30" s="1"/>
  <c r="AW129" i="30"/>
  <c r="AW242" i="30" s="1"/>
  <c r="AV129" i="30"/>
  <c r="AU129" i="30"/>
  <c r="AU242" i="30" s="1"/>
  <c r="AT129" i="30"/>
  <c r="AS129" i="30"/>
  <c r="AR129" i="30"/>
  <c r="AQ129" i="30"/>
  <c r="AP129" i="30"/>
  <c r="AP242" i="30" s="1"/>
  <c r="AO129" i="30"/>
  <c r="AO243" i="30" s="1"/>
  <c r="AN129" i="30"/>
  <c r="AM129" i="30"/>
  <c r="AM242" i="30" s="1"/>
  <c r="AL129" i="30"/>
  <c r="AK129" i="30"/>
  <c r="AJ129" i="30"/>
  <c r="AI129" i="30"/>
  <c r="AH129" i="30"/>
  <c r="AH242" i="30" s="1"/>
  <c r="AG129" i="30"/>
  <c r="AG242" i="30" s="1"/>
  <c r="AF129" i="30"/>
  <c r="AF241" i="30" s="1"/>
  <c r="AE129" i="30"/>
  <c r="AE243" i="30" s="1"/>
  <c r="AD129" i="30"/>
  <c r="AD243" i="30" s="1"/>
  <c r="AC129" i="30"/>
  <c r="AB129" i="30"/>
  <c r="AA129" i="30"/>
  <c r="Z129" i="30"/>
  <c r="Z243" i="30" s="1"/>
  <c r="Y129" i="30"/>
  <c r="Y242" i="30" s="1"/>
  <c r="X129" i="30"/>
  <c r="X241" i="30" s="1"/>
  <c r="W129" i="30"/>
  <c r="V129" i="30"/>
  <c r="V243" i="30" s="1"/>
  <c r="U129" i="30"/>
  <c r="T129" i="30"/>
  <c r="S129" i="30"/>
  <c r="R129" i="30"/>
  <c r="Q129" i="30"/>
  <c r="P129" i="30"/>
  <c r="P242" i="30" s="1"/>
  <c r="O129" i="30"/>
  <c r="O242" i="30" s="1"/>
  <c r="N129" i="30"/>
  <c r="N243" i="30" s="1"/>
  <c r="M129" i="30"/>
  <c r="L129" i="30"/>
  <c r="K129" i="30"/>
  <c r="J129" i="30"/>
  <c r="I129" i="30"/>
  <c r="H129" i="30"/>
  <c r="G129" i="30"/>
  <c r="F129" i="30"/>
  <c r="E129" i="30"/>
  <c r="D129" i="30"/>
  <c r="BJ128" i="30"/>
  <c r="BI128" i="30"/>
  <c r="BI230" i="30" s="1"/>
  <c r="BH128" i="30"/>
  <c r="BH231" i="30" s="1"/>
  <c r="BG128" i="30"/>
  <c r="BF128" i="30"/>
  <c r="BF231" i="30" s="1"/>
  <c r="BE128" i="30"/>
  <c r="BD128" i="30"/>
  <c r="BD230" i="30" s="1"/>
  <c r="BC128" i="30"/>
  <c r="BB128" i="30"/>
  <c r="BA128" i="30"/>
  <c r="BA231" i="30" s="1"/>
  <c r="AZ128" i="30"/>
  <c r="AY128" i="30"/>
  <c r="AX128" i="30"/>
  <c r="AX230" i="30" s="1"/>
  <c r="AW128" i="30"/>
  <c r="AW230" i="30" s="1"/>
  <c r="AV128" i="30"/>
  <c r="AU128" i="30"/>
  <c r="AU230" i="30" s="1"/>
  <c r="AT128" i="30"/>
  <c r="AS128" i="30"/>
  <c r="AR128" i="30"/>
  <c r="AQ128" i="30"/>
  <c r="AP128" i="30"/>
  <c r="AO128" i="30"/>
  <c r="AN128" i="30"/>
  <c r="AN231" i="30" s="1"/>
  <c r="AM128" i="30"/>
  <c r="AM231" i="30" s="1"/>
  <c r="AL128" i="30"/>
  <c r="AK128" i="30"/>
  <c r="AK231" i="30" s="1"/>
  <c r="AJ128" i="30"/>
  <c r="AI128" i="30"/>
  <c r="AH128" i="30"/>
  <c r="AH231" i="30" s="1"/>
  <c r="AG128" i="30"/>
  <c r="AG231" i="30" s="1"/>
  <c r="AF128" i="30"/>
  <c r="AE128" i="30"/>
  <c r="AE231" i="30" s="1"/>
  <c r="AD128" i="30"/>
  <c r="AC128" i="30"/>
  <c r="AB128" i="30"/>
  <c r="AA128" i="30"/>
  <c r="AA231" i="30" s="1"/>
  <c r="Z128" i="30"/>
  <c r="Z230" i="30" s="1"/>
  <c r="Y128" i="30"/>
  <c r="X128" i="30"/>
  <c r="X231" i="30" s="1"/>
  <c r="W128" i="30"/>
  <c r="V128" i="30"/>
  <c r="U128" i="30"/>
  <c r="U230" i="30" s="1"/>
  <c r="T128" i="30"/>
  <c r="S128" i="30"/>
  <c r="R128" i="30"/>
  <c r="R230" i="30" s="1"/>
  <c r="Q128" i="30"/>
  <c r="P128" i="30"/>
  <c r="P230" i="30" s="1"/>
  <c r="O128" i="30"/>
  <c r="O230" i="30" s="1"/>
  <c r="N128" i="30"/>
  <c r="N231" i="30" s="1"/>
  <c r="M128" i="30"/>
  <c r="L128" i="30"/>
  <c r="K128" i="30"/>
  <c r="J128" i="30"/>
  <c r="I128" i="30"/>
  <c r="H128" i="30"/>
  <c r="G128" i="30"/>
  <c r="F128" i="30"/>
  <c r="E128" i="30"/>
  <c r="D128" i="30"/>
  <c r="BJ125" i="30"/>
  <c r="BI125" i="30"/>
  <c r="BH125" i="30"/>
  <c r="BG125" i="30"/>
  <c r="BF125" i="30"/>
  <c r="BE125" i="30"/>
  <c r="BD125" i="30"/>
  <c r="BC125" i="30"/>
  <c r="BB125" i="30"/>
  <c r="BA125" i="30"/>
  <c r="AZ125" i="30"/>
  <c r="AY125" i="30"/>
  <c r="AX125" i="30"/>
  <c r="AW125" i="30"/>
  <c r="AV125" i="30"/>
  <c r="AU125" i="30"/>
  <c r="AT125" i="30"/>
  <c r="AS125" i="30"/>
  <c r="AR125" i="30"/>
  <c r="AQ125" i="30"/>
  <c r="AP125" i="30"/>
  <c r="AO125" i="30"/>
  <c r="AN125" i="30"/>
  <c r="AM125" i="30"/>
  <c r="AL125" i="30"/>
  <c r="AK125" i="30"/>
  <c r="AJ125" i="30"/>
  <c r="AI125" i="30"/>
  <c r="AH125" i="30"/>
  <c r="AG125" i="30"/>
  <c r="AF125" i="30"/>
  <c r="AE125" i="30"/>
  <c r="AD125" i="30"/>
  <c r="AC125" i="30"/>
  <c r="AB125" i="30"/>
  <c r="AA125" i="30"/>
  <c r="Z125" i="30"/>
  <c r="Y125" i="30"/>
  <c r="X125" i="30"/>
  <c r="W125" i="30"/>
  <c r="V125" i="30"/>
  <c r="U125" i="30"/>
  <c r="T125" i="30"/>
  <c r="S125" i="30"/>
  <c r="R125" i="30"/>
  <c r="Q125" i="30"/>
  <c r="P125" i="30"/>
  <c r="O125" i="30"/>
  <c r="N125" i="30"/>
  <c r="M125" i="30"/>
  <c r="L125" i="30"/>
  <c r="K125" i="30"/>
  <c r="J125" i="30"/>
  <c r="I125" i="30"/>
  <c r="H125" i="30"/>
  <c r="G125" i="30"/>
  <c r="F125" i="30"/>
  <c r="E125" i="30"/>
  <c r="D125" i="30"/>
  <c r="BB114" i="30"/>
  <c r="BA114" i="30"/>
  <c r="AZ114" i="30"/>
  <c r="AY114" i="30"/>
  <c r="AX114" i="30"/>
  <c r="AW114" i="30"/>
  <c r="AV114" i="30"/>
  <c r="AU114" i="30"/>
  <c r="AT114" i="30"/>
  <c r="AS114" i="30"/>
  <c r="AR114" i="30"/>
  <c r="AQ114" i="30"/>
  <c r="AP114" i="30"/>
  <c r="AO114" i="30"/>
  <c r="AN114" i="30"/>
  <c r="AM114" i="30"/>
  <c r="AL114" i="30"/>
  <c r="AK114" i="30"/>
  <c r="AJ114" i="30"/>
  <c r="AI114" i="30"/>
  <c r="AH114" i="30"/>
  <c r="AG114" i="30"/>
  <c r="AF114" i="30"/>
  <c r="AE114" i="30"/>
  <c r="AD114" i="30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M282" i="30" s="1"/>
  <c r="M285" i="30" s="1"/>
  <c r="L114" i="30"/>
  <c r="L282" i="30" s="1"/>
  <c r="L285" i="30" s="1"/>
  <c r="K114" i="30"/>
  <c r="K282" i="30" s="1"/>
  <c r="K285" i="30" s="1"/>
  <c r="J114" i="30"/>
  <c r="J282" i="30" s="1"/>
  <c r="J285" i="30" s="1"/>
  <c r="I114" i="30"/>
  <c r="I282" i="30" s="1"/>
  <c r="I285" i="30" s="1"/>
  <c r="H114" i="30"/>
  <c r="H282" i="30" s="1"/>
  <c r="H285" i="30" s="1"/>
  <c r="G114" i="30"/>
  <c r="G282" i="30" s="1"/>
  <c r="G285" i="30" s="1"/>
  <c r="F114" i="30"/>
  <c r="F282" i="30" s="1"/>
  <c r="F285" i="30" s="1"/>
  <c r="E114" i="30"/>
  <c r="E282" i="30" s="1"/>
  <c r="E285" i="30" s="1"/>
  <c r="D114" i="30"/>
  <c r="D282" i="30" s="1"/>
  <c r="D285" i="30" s="1"/>
  <c r="BB113" i="30"/>
  <c r="BA113" i="30"/>
  <c r="AZ113" i="30"/>
  <c r="AY113" i="30"/>
  <c r="AX113" i="30"/>
  <c r="AW113" i="30"/>
  <c r="AV113" i="30"/>
  <c r="AU113" i="30"/>
  <c r="AT113" i="30"/>
  <c r="AS113" i="30"/>
  <c r="AR113" i="30"/>
  <c r="AQ113" i="30"/>
  <c r="AP113" i="30"/>
  <c r="AO113" i="30"/>
  <c r="AN113" i="30"/>
  <c r="AM113" i="30"/>
  <c r="AL113" i="30"/>
  <c r="AK113" i="30"/>
  <c r="AJ113" i="30"/>
  <c r="AI113" i="30"/>
  <c r="AH113" i="30"/>
  <c r="AG113" i="30"/>
  <c r="AF113" i="30"/>
  <c r="AE113" i="30"/>
  <c r="AD113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M281" i="30" s="1"/>
  <c r="L113" i="30"/>
  <c r="L281" i="30" s="1"/>
  <c r="K113" i="30"/>
  <c r="K281" i="30" s="1"/>
  <c r="J113" i="30"/>
  <c r="J281" i="30" s="1"/>
  <c r="I113" i="30"/>
  <c r="I281" i="30" s="1"/>
  <c r="H113" i="30"/>
  <c r="H281" i="30" s="1"/>
  <c r="G113" i="30"/>
  <c r="G281" i="30" s="1"/>
  <c r="F113" i="30"/>
  <c r="F281" i="30" s="1"/>
  <c r="E113" i="30"/>
  <c r="E281" i="30" s="1"/>
  <c r="D113" i="30"/>
  <c r="D281" i="30" s="1"/>
  <c r="BB109" i="30"/>
  <c r="BA109" i="30"/>
  <c r="AZ109" i="30"/>
  <c r="AY109" i="30"/>
  <c r="AX109" i="30"/>
  <c r="AW109" i="30"/>
  <c r="AV109" i="30"/>
  <c r="AU109" i="30"/>
  <c r="AT109" i="30"/>
  <c r="AS109" i="30"/>
  <c r="AR109" i="30"/>
  <c r="AQ109" i="30"/>
  <c r="AP109" i="30"/>
  <c r="AO109" i="30"/>
  <c r="AN109" i="30"/>
  <c r="AM109" i="30"/>
  <c r="AL109" i="30"/>
  <c r="AK109" i="30"/>
  <c r="AJ109" i="30"/>
  <c r="AI109" i="30"/>
  <c r="AH109" i="30"/>
  <c r="AG109" i="30"/>
  <c r="AF109" i="30"/>
  <c r="AE109" i="30"/>
  <c r="AD109" i="30"/>
  <c r="AC109" i="30"/>
  <c r="AB109" i="30"/>
  <c r="AA109" i="30"/>
  <c r="Z109" i="30"/>
  <c r="Y109" i="30"/>
  <c r="X109" i="30"/>
  <c r="W109" i="30"/>
  <c r="V109" i="30"/>
  <c r="U109" i="30"/>
  <c r="T109" i="30"/>
  <c r="S109" i="30"/>
  <c r="R109" i="30"/>
  <c r="Q109" i="30"/>
  <c r="P109" i="30"/>
  <c r="O109" i="30"/>
  <c r="N109" i="30"/>
  <c r="M109" i="30"/>
  <c r="L109" i="30"/>
  <c r="K109" i="30"/>
  <c r="J109" i="30"/>
  <c r="I109" i="30"/>
  <c r="H109" i="30"/>
  <c r="G109" i="30"/>
  <c r="F109" i="30"/>
  <c r="E109" i="30"/>
  <c r="D109" i="30"/>
  <c r="O100" i="30"/>
  <c r="N100" i="30"/>
  <c r="M100" i="30"/>
  <c r="L100" i="30"/>
  <c r="K100" i="30"/>
  <c r="J100" i="30"/>
  <c r="I100" i="30"/>
  <c r="H100" i="30"/>
  <c r="G100" i="30"/>
  <c r="F100" i="30"/>
  <c r="E100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H99" i="30"/>
  <c r="G99" i="30"/>
  <c r="F99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H98" i="30"/>
  <c r="G98" i="30"/>
  <c r="F98" i="30"/>
  <c r="BB97" i="30"/>
  <c r="BA97" i="30"/>
  <c r="AZ97" i="30"/>
  <c r="AY97" i="30"/>
  <c r="AX97" i="30"/>
  <c r="AW97" i="30"/>
  <c r="AV97" i="30"/>
  <c r="AU97" i="30"/>
  <c r="AT97" i="30"/>
  <c r="AS97" i="30"/>
  <c r="AR97" i="30"/>
  <c r="AQ97" i="30"/>
  <c r="AP97" i="30"/>
  <c r="AO97" i="30"/>
  <c r="AN97" i="30"/>
  <c r="AM97" i="30"/>
  <c r="AL97" i="30"/>
  <c r="AK97" i="30"/>
  <c r="AJ97" i="30"/>
  <c r="AI97" i="30"/>
  <c r="AH97" i="30"/>
  <c r="AG97" i="30"/>
  <c r="AF97" i="30"/>
  <c r="AE97" i="30"/>
  <c r="AD97" i="30"/>
  <c r="AC97" i="30"/>
  <c r="AB97" i="30"/>
  <c r="AA97" i="30"/>
  <c r="Z97" i="30"/>
  <c r="Y97" i="30"/>
  <c r="X97" i="30"/>
  <c r="W97" i="30"/>
  <c r="V97" i="30"/>
  <c r="U97" i="30"/>
  <c r="T97" i="30"/>
  <c r="S97" i="30"/>
  <c r="R97" i="30"/>
  <c r="Q97" i="30"/>
  <c r="P97" i="30"/>
  <c r="O97" i="30"/>
  <c r="N97" i="30"/>
  <c r="M97" i="30"/>
  <c r="L97" i="30"/>
  <c r="K97" i="30"/>
  <c r="J97" i="30"/>
  <c r="I97" i="30"/>
  <c r="H97" i="30"/>
  <c r="G97" i="30"/>
  <c r="F97" i="30"/>
  <c r="BB96" i="30"/>
  <c r="BA96" i="30"/>
  <c r="AZ96" i="30"/>
  <c r="AY96" i="30"/>
  <c r="AX96" i="30"/>
  <c r="AW96" i="30"/>
  <c r="AV96" i="30"/>
  <c r="AU96" i="30"/>
  <c r="AT96" i="30"/>
  <c r="AS96" i="30"/>
  <c r="AR96" i="30"/>
  <c r="AQ96" i="30"/>
  <c r="AP96" i="30"/>
  <c r="AO96" i="30"/>
  <c r="AN96" i="30"/>
  <c r="AM96" i="30"/>
  <c r="AL96" i="30"/>
  <c r="AK96" i="30"/>
  <c r="AJ96" i="30"/>
  <c r="AI96" i="30"/>
  <c r="AH96" i="30"/>
  <c r="AG96" i="30"/>
  <c r="AF96" i="30"/>
  <c r="AE96" i="30"/>
  <c r="AD96" i="30"/>
  <c r="AC96" i="30"/>
  <c r="AB96" i="30"/>
  <c r="AA96" i="30"/>
  <c r="Z96" i="30"/>
  <c r="Y96" i="30"/>
  <c r="X96" i="30"/>
  <c r="W96" i="30"/>
  <c r="V96" i="30"/>
  <c r="U96" i="30"/>
  <c r="T96" i="30"/>
  <c r="S96" i="30"/>
  <c r="R96" i="30"/>
  <c r="Q96" i="30"/>
  <c r="P96" i="30"/>
  <c r="O96" i="30"/>
  <c r="N96" i="30"/>
  <c r="M96" i="30"/>
  <c r="L96" i="30"/>
  <c r="K96" i="30"/>
  <c r="J96" i="30"/>
  <c r="I96" i="30"/>
  <c r="H96" i="30"/>
  <c r="G96" i="30"/>
  <c r="F96" i="30"/>
  <c r="BB95" i="30"/>
  <c r="BA95" i="30"/>
  <c r="AZ95" i="30"/>
  <c r="AY95" i="30"/>
  <c r="AX95" i="30"/>
  <c r="AW95" i="30"/>
  <c r="AV95" i="30"/>
  <c r="AU95" i="30"/>
  <c r="AT95" i="30"/>
  <c r="AS95" i="30"/>
  <c r="AR95" i="30"/>
  <c r="AQ95" i="30"/>
  <c r="AP95" i="30"/>
  <c r="AO95" i="30"/>
  <c r="AN95" i="30"/>
  <c r="AM95" i="30"/>
  <c r="AL95" i="30"/>
  <c r="AK95" i="30"/>
  <c r="AJ95" i="30"/>
  <c r="AI95" i="30"/>
  <c r="AH95" i="30"/>
  <c r="AG95" i="30"/>
  <c r="AF95" i="30"/>
  <c r="AE95" i="30"/>
  <c r="AD95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H95" i="30"/>
  <c r="G95" i="30"/>
  <c r="F95" i="30"/>
  <c r="BI36" i="30"/>
  <c r="BH36" i="30"/>
  <c r="BG36" i="30"/>
  <c r="BD36" i="30"/>
  <c r="BA36" i="30"/>
  <c r="AZ36" i="30"/>
  <c r="AY36" i="30"/>
  <c r="AS36" i="30"/>
  <c r="AR36" i="30"/>
  <c r="AQ36" i="30"/>
  <c r="AP36" i="30"/>
  <c r="AN36" i="30"/>
  <c r="AK36" i="30"/>
  <c r="AJ36" i="30"/>
  <c r="AI36" i="30"/>
  <c r="AC36" i="30"/>
  <c r="AB36" i="30"/>
  <c r="AA36" i="30"/>
  <c r="U36" i="30"/>
  <c r="T36" i="30"/>
  <c r="S36" i="30"/>
  <c r="BI35" i="30"/>
  <c r="BH35" i="30"/>
  <c r="BG35" i="30"/>
  <c r="BA35" i="30"/>
  <c r="AZ35" i="30"/>
  <c r="AY35" i="30"/>
  <c r="AY34" i="30" s="1"/>
  <c r="AX35" i="30"/>
  <c r="AW35" i="30"/>
  <c r="AV35" i="30"/>
  <c r="AS35" i="30"/>
  <c r="AR35" i="30"/>
  <c r="AQ35" i="30"/>
  <c r="AP35" i="30"/>
  <c r="AK35" i="30"/>
  <c r="AJ35" i="30"/>
  <c r="AI35" i="30"/>
  <c r="AC35" i="30"/>
  <c r="AB35" i="30"/>
  <c r="AA35" i="30"/>
  <c r="X35" i="30"/>
  <c r="U35" i="30"/>
  <c r="T35" i="30"/>
  <c r="S35" i="30"/>
  <c r="BJ32" i="30"/>
  <c r="BJ33" i="30" s="1"/>
  <c r="BI32" i="30"/>
  <c r="BI33" i="30" s="1"/>
  <c r="BH32" i="30"/>
  <c r="BH33" i="30" s="1"/>
  <c r="BE32" i="30"/>
  <c r="BE33" i="30" s="1"/>
  <c r="BB32" i="30"/>
  <c r="BB33" i="30" s="1"/>
  <c r="BA32" i="30"/>
  <c r="BA33" i="30" s="1"/>
  <c r="AZ32" i="30"/>
  <c r="AZ33" i="30" s="1"/>
  <c r="AT32" i="30"/>
  <c r="AT33" i="30" s="1"/>
  <c r="AS32" i="30"/>
  <c r="AS33" i="30" s="1"/>
  <c r="AR32" i="30"/>
  <c r="AR33" i="30" s="1"/>
  <c r="AL32" i="30"/>
  <c r="AL33" i="30" s="1"/>
  <c r="AK32" i="30"/>
  <c r="AK33" i="30" s="1"/>
  <c r="AJ32" i="30"/>
  <c r="AJ33" i="30" s="1"/>
  <c r="AH32" i="30"/>
  <c r="AH33" i="30" s="1"/>
  <c r="AG32" i="30"/>
  <c r="AG33" i="30" s="1"/>
  <c r="AD32" i="30"/>
  <c r="AD33" i="30" s="1"/>
  <c r="AC32" i="30"/>
  <c r="AC33" i="30" s="1"/>
  <c r="AB32" i="30"/>
  <c r="AB33" i="30" s="1"/>
  <c r="V32" i="30"/>
  <c r="V33" i="30" s="1"/>
  <c r="U32" i="30"/>
  <c r="U33" i="30" s="1"/>
  <c r="T32" i="30"/>
  <c r="T33" i="30" s="1"/>
  <c r="S32" i="30"/>
  <c r="S33" i="30" s="1"/>
  <c r="R32" i="30"/>
  <c r="R33" i="30" s="1"/>
  <c r="N32" i="30"/>
  <c r="N33" i="30" s="1"/>
  <c r="C26" i="30"/>
  <c r="C297" i="30" s="1"/>
  <c r="C25" i="30"/>
  <c r="C296" i="30" s="1"/>
  <c r="N17" i="30"/>
  <c r="L8" i="30"/>
  <c r="J9" i="30" s="1"/>
  <c r="N9" i="30" s="1"/>
  <c r="J5" i="30"/>
  <c r="N5" i="30" s="1"/>
  <c r="AN35" i="30" l="1"/>
  <c r="C94" i="11"/>
  <c r="H94" i="11" s="1"/>
  <c r="BB267" i="30"/>
  <c r="AU32" i="30"/>
  <c r="AU33" i="30" s="1"/>
  <c r="AA34" i="30"/>
  <c r="P36" i="30"/>
  <c r="D94" i="11"/>
  <c r="AG36" i="30"/>
  <c r="AW246" i="30"/>
  <c r="P35" i="30"/>
  <c r="BK184" i="30"/>
  <c r="BK192" i="30" s="1"/>
  <c r="BK193" i="30" s="1"/>
  <c r="BK168" i="30"/>
  <c r="BK170" i="30" s="1"/>
  <c r="BK178" i="30" s="1"/>
  <c r="BK179" i="30" s="1"/>
  <c r="P235" i="30"/>
  <c r="AN235" i="30"/>
  <c r="BJ247" i="30"/>
  <c r="AL267" i="30"/>
  <c r="V35" i="30"/>
  <c r="BJ35" i="30"/>
  <c r="AF36" i="30"/>
  <c r="AW32" i="30"/>
  <c r="AW33" i="30" s="1"/>
  <c r="AG234" i="30"/>
  <c r="X247" i="30"/>
  <c r="BJ267" i="30"/>
  <c r="AQ34" i="30"/>
  <c r="AV36" i="30"/>
  <c r="Y32" i="30"/>
  <c r="Y33" i="30" s="1"/>
  <c r="AF35" i="30"/>
  <c r="BD35" i="30"/>
  <c r="AW36" i="30"/>
  <c r="AW34" i="30" s="1"/>
  <c r="AM234" i="30"/>
  <c r="AN267" i="30"/>
  <c r="AF267" i="30"/>
  <c r="W32" i="30"/>
  <c r="W33" i="30" s="1"/>
  <c r="AC34" i="30"/>
  <c r="Q32" i="30"/>
  <c r="Q33" i="30" s="1"/>
  <c r="AO32" i="30"/>
  <c r="AO33" i="30" s="1"/>
  <c r="AG35" i="30"/>
  <c r="AG34" i="30" s="1"/>
  <c r="X36" i="30"/>
  <c r="X34" i="30" s="1"/>
  <c r="BE246" i="30"/>
  <c r="BG34" i="30"/>
  <c r="AH234" i="30"/>
  <c r="AV235" i="30"/>
  <c r="Q246" i="30"/>
  <c r="BF246" i="30"/>
  <c r="AV247" i="30"/>
  <c r="AO258" i="30"/>
  <c r="X259" i="30"/>
  <c r="P267" i="30"/>
  <c r="Q272" i="30"/>
  <c r="AN34" i="30"/>
  <c r="BE234" i="30"/>
  <c r="T246" i="30"/>
  <c r="AO246" i="30"/>
  <c r="BH246" i="30"/>
  <c r="AV267" i="30"/>
  <c r="BI34" i="30"/>
  <c r="AF235" i="30"/>
  <c r="AR246" i="30"/>
  <c r="AF247" i="30"/>
  <c r="BD247" i="30"/>
  <c r="X267" i="30"/>
  <c r="Y272" i="30"/>
  <c r="AW272" i="30"/>
  <c r="Y278" i="30"/>
  <c r="Y234" i="30"/>
  <c r="AO234" i="30"/>
  <c r="BD235" i="30"/>
  <c r="P247" i="30"/>
  <c r="AX272" i="30"/>
  <c r="P283" i="30"/>
  <c r="AF34" i="30"/>
  <c r="AQ247" i="30"/>
  <c r="AW278" i="30"/>
  <c r="O32" i="30"/>
  <c r="O33" i="30" s="1"/>
  <c r="AD35" i="30"/>
  <c r="AO35" i="30"/>
  <c r="AD36" i="30"/>
  <c r="AO36" i="30"/>
  <c r="AO34" i="30" s="1"/>
  <c r="W234" i="30"/>
  <c r="AI234" i="30"/>
  <c r="Y235" i="30"/>
  <c r="AW235" i="30"/>
  <c r="BJ235" i="30"/>
  <c r="Z246" i="30"/>
  <c r="AP246" i="30"/>
  <c r="AG247" i="30"/>
  <c r="BE247" i="30"/>
  <c r="Q267" i="30"/>
  <c r="AH267" i="30"/>
  <c r="AX267" i="30"/>
  <c r="AE272" i="30"/>
  <c r="AU272" i="30"/>
  <c r="N278" i="30"/>
  <c r="AO278" i="30"/>
  <c r="Z283" i="30"/>
  <c r="R258" i="30"/>
  <c r="AP258" i="30"/>
  <c r="AX258" i="30"/>
  <c r="BF258" i="30"/>
  <c r="AW267" i="30"/>
  <c r="Z32" i="30"/>
  <c r="Z33" i="30" s="1"/>
  <c r="BC32" i="30"/>
  <c r="BC33" i="30" s="1"/>
  <c r="V36" i="30"/>
  <c r="V34" i="30" s="1"/>
  <c r="BJ36" i="30"/>
  <c r="AX234" i="30"/>
  <c r="N235" i="30"/>
  <c r="M235" i="30" s="1"/>
  <c r="L235" i="30" s="1"/>
  <c r="K235" i="30" s="1"/>
  <c r="Z235" i="30"/>
  <c r="AL235" i="30"/>
  <c r="AQ246" i="30"/>
  <c r="AT247" i="30"/>
  <c r="R267" i="30"/>
  <c r="N272" i="30"/>
  <c r="AM32" i="30"/>
  <c r="AM33" i="30" s="1"/>
  <c r="N35" i="30"/>
  <c r="N36" i="30"/>
  <c r="Q235" i="30"/>
  <c r="BB235" i="30"/>
  <c r="AL247" i="30"/>
  <c r="R272" i="30"/>
  <c r="AX32" i="30"/>
  <c r="AX33" i="30" s="1"/>
  <c r="Y35" i="30"/>
  <c r="BB35" i="30"/>
  <c r="Z36" i="30"/>
  <c r="BD34" i="30"/>
  <c r="AD229" i="30"/>
  <c r="AL229" i="30"/>
  <c r="BJ229" i="30"/>
  <c r="AP234" i="30"/>
  <c r="BC234" i="30"/>
  <c r="AD235" i="30"/>
  <c r="R246" i="30"/>
  <c r="AX247" i="30"/>
  <c r="N259" i="30"/>
  <c r="M259" i="30" s="1"/>
  <c r="L259" i="30" s="1"/>
  <c r="K259" i="30" s="1"/>
  <c r="J259" i="30" s="1"/>
  <c r="J34" i="30" s="1"/>
  <c r="Y267" i="30"/>
  <c r="AO267" i="30"/>
  <c r="BE267" i="30"/>
  <c r="AD278" i="30"/>
  <c r="BE278" i="30"/>
  <c r="Y36" i="30"/>
  <c r="BB36" i="30"/>
  <c r="AE32" i="30"/>
  <c r="AE33" i="30" s="1"/>
  <c r="AY32" i="30"/>
  <c r="AY33" i="30" s="1"/>
  <c r="Q35" i="30"/>
  <c r="AT35" i="30"/>
  <c r="BE36" i="30"/>
  <c r="BE34" i="30" s="1"/>
  <c r="AE234" i="30"/>
  <c r="BE235" i="30"/>
  <c r="AO247" i="30"/>
  <c r="BF267" i="30"/>
  <c r="AP272" i="30"/>
  <c r="AG278" i="30"/>
  <c r="BF32" i="30"/>
  <c r="BF33" i="30" s="1"/>
  <c r="AR34" i="30"/>
  <c r="O234" i="30"/>
  <c r="Q36" i="30"/>
  <c r="AT36" i="30"/>
  <c r="AQ32" i="30"/>
  <c r="AQ33" i="30" s="1"/>
  <c r="R35" i="30"/>
  <c r="AL35" i="30"/>
  <c r="AL34" i="30" s="1"/>
  <c r="AB34" i="30"/>
  <c r="AL36" i="30"/>
  <c r="AU234" i="30"/>
  <c r="V235" i="30"/>
  <c r="AG235" i="30"/>
  <c r="AT235" i="30"/>
  <c r="Q247" i="30"/>
  <c r="AD247" i="30"/>
  <c r="AP247" i="30"/>
  <c r="BB247" i="30"/>
  <c r="N267" i="30"/>
  <c r="AH278" i="30"/>
  <c r="V283" i="30"/>
  <c r="AD283" i="30"/>
  <c r="BB283" i="30"/>
  <c r="BJ283" i="30"/>
  <c r="BK219" i="30"/>
  <c r="BK211" i="30"/>
  <c r="BK204" i="30"/>
  <c r="BK196" i="30"/>
  <c r="BG32" i="30"/>
  <c r="BG33" i="30" s="1"/>
  <c r="BF35" i="30"/>
  <c r="BF34" i="30" s="1"/>
  <c r="R36" i="30"/>
  <c r="R34" i="30" s="1"/>
  <c r="AJ34" i="30"/>
  <c r="AH235" i="30"/>
  <c r="BC235" i="30"/>
  <c r="AA246" i="30"/>
  <c r="U252" i="30"/>
  <c r="AK252" i="30"/>
  <c r="BA252" i="30"/>
  <c r="AX278" i="30"/>
  <c r="R283" i="30"/>
  <c r="AH283" i="30"/>
  <c r="AP283" i="30"/>
  <c r="AX283" i="30"/>
  <c r="BF283" i="30"/>
  <c r="BF298" i="30" s="1"/>
  <c r="AI32" i="30"/>
  <c r="AI33" i="30" s="1"/>
  <c r="AH35" i="30"/>
  <c r="AH34" i="30" s="1"/>
  <c r="BF36" i="30"/>
  <c r="BF235" i="30"/>
  <c r="S246" i="30"/>
  <c r="X258" i="30"/>
  <c r="O259" i="30"/>
  <c r="R278" i="30"/>
  <c r="BF278" i="30"/>
  <c r="T34" i="30"/>
  <c r="Z35" i="30"/>
  <c r="AI34" i="30"/>
  <c r="AX36" i="30"/>
  <c r="AX34" i="30" s="1"/>
  <c r="AH247" i="30"/>
  <c r="Z267" i="30"/>
  <c r="AP278" i="30"/>
  <c r="S34" i="30"/>
  <c r="AZ34" i="30"/>
  <c r="AP235" i="30"/>
  <c r="Z247" i="30"/>
  <c r="AU247" i="30"/>
  <c r="S258" i="30"/>
  <c r="AA252" i="30"/>
  <c r="AI252" i="30"/>
  <c r="AQ252" i="30"/>
  <c r="AY258" i="30"/>
  <c r="BG252" i="30"/>
  <c r="X220" i="30"/>
  <c r="AF220" i="30"/>
  <c r="AH258" i="30"/>
  <c r="X32" i="30"/>
  <c r="X33" i="30" s="1"/>
  <c r="AN32" i="30"/>
  <c r="AN33" i="30" s="1"/>
  <c r="BD32" i="30"/>
  <c r="BD33" i="30" s="1"/>
  <c r="AU235" i="30"/>
  <c r="P246" i="30"/>
  <c r="AV246" i="30"/>
  <c r="AM247" i="30"/>
  <c r="AV272" i="30"/>
  <c r="AE278" i="30"/>
  <c r="P32" i="30"/>
  <c r="P33" i="30" s="1"/>
  <c r="AF32" i="30"/>
  <c r="AF33" i="30" s="1"/>
  <c r="AP34" i="30"/>
  <c r="AN234" i="30"/>
  <c r="AM235" i="30"/>
  <c r="AE247" i="30"/>
  <c r="AX252" i="30"/>
  <c r="AT241" i="30"/>
  <c r="AE235" i="30"/>
  <c r="AN246" i="30"/>
  <c r="W247" i="30"/>
  <c r="AY252" i="30"/>
  <c r="AM267" i="30"/>
  <c r="X272" i="30"/>
  <c r="BB34" i="30"/>
  <c r="U34" i="30"/>
  <c r="BA34" i="30"/>
  <c r="AF234" i="30"/>
  <c r="W235" i="30"/>
  <c r="BF252" i="30"/>
  <c r="AM35" i="30"/>
  <c r="BK281" i="30"/>
  <c r="BK32" i="30" s="1"/>
  <c r="BK33" i="30" s="1"/>
  <c r="O235" i="30"/>
  <c r="AF246" i="30"/>
  <c r="O247" i="30"/>
  <c r="BB252" i="30"/>
  <c r="BC267" i="30"/>
  <c r="O272" i="30"/>
  <c r="W35" i="30"/>
  <c r="W34" i="30" s="1"/>
  <c r="BC35" i="30"/>
  <c r="P34" i="30"/>
  <c r="AV34" i="30"/>
  <c r="O36" i="30"/>
  <c r="O34" i="30" s="1"/>
  <c r="AE36" i="30"/>
  <c r="AM36" i="30"/>
  <c r="AU36" i="30"/>
  <c r="AU34" i="30" s="1"/>
  <c r="BC36" i="30"/>
  <c r="BC34" i="30" s="1"/>
  <c r="X234" i="30"/>
  <c r="BD234" i="30"/>
  <c r="BC247" i="30"/>
  <c r="AN258" i="30"/>
  <c r="R252" i="30"/>
  <c r="V258" i="30"/>
  <c r="P272" i="30"/>
  <c r="BD272" i="30"/>
  <c r="AE35" i="30"/>
  <c r="BH34" i="30"/>
  <c r="AF229" i="30"/>
  <c r="AV229" i="30"/>
  <c r="W272" i="30"/>
  <c r="BC272" i="30"/>
  <c r="AT278" i="30"/>
  <c r="N252" i="30"/>
  <c r="AA259" i="30"/>
  <c r="AL283" i="30"/>
  <c r="AL252" i="30"/>
  <c r="AI259" i="30"/>
  <c r="AR283" i="30"/>
  <c r="N246" i="30"/>
  <c r="M246" i="30" s="1"/>
  <c r="V246" i="30"/>
  <c r="AD246" i="30"/>
  <c r="AL246" i="30"/>
  <c r="AT246" i="30"/>
  <c r="BB246" i="30"/>
  <c r="BJ246" i="30"/>
  <c r="V247" i="30"/>
  <c r="S252" i="30"/>
  <c r="AP252" i="30"/>
  <c r="AL272" i="30"/>
  <c r="BF272" i="30"/>
  <c r="V278" i="30"/>
  <c r="N283" i="30"/>
  <c r="AT283" i="30"/>
  <c r="AK34" i="30"/>
  <c r="AY229" i="30"/>
  <c r="R241" i="30"/>
  <c r="N71" i="32"/>
  <c r="N60" i="32" s="1"/>
  <c r="N46" i="32" s="1"/>
  <c r="AY235" i="30"/>
  <c r="BG235" i="30"/>
  <c r="AM246" i="30"/>
  <c r="AG283" i="30"/>
  <c r="AO283" i="30"/>
  <c r="AS34" i="30"/>
  <c r="AI229" i="30"/>
  <c r="D133" i="30"/>
  <c r="D286" i="30" s="1"/>
  <c r="O115" i="30"/>
  <c r="W115" i="30"/>
  <c r="AE115" i="30"/>
  <c r="AM115" i="30"/>
  <c r="V234" i="30"/>
  <c r="AD234" i="30"/>
  <c r="BB234" i="30"/>
  <c r="BJ234" i="30"/>
  <c r="BG259" i="30"/>
  <c r="AD272" i="30"/>
  <c r="BJ272" i="30"/>
  <c r="AF231" i="30"/>
  <c r="Q115" i="30"/>
  <c r="Y115" i="30"/>
  <c r="AG115" i="30"/>
  <c r="AO115" i="30"/>
  <c r="AW115" i="30"/>
  <c r="AC253" i="30"/>
  <c r="BE253" i="30"/>
  <c r="AI115" i="30"/>
  <c r="S115" i="30"/>
  <c r="AA115" i="30"/>
  <c r="AQ115" i="30"/>
  <c r="AY115" i="30"/>
  <c r="S253" i="30"/>
  <c r="AQ253" i="30"/>
  <c r="BG253" i="30"/>
  <c r="N115" i="30"/>
  <c r="V115" i="30"/>
  <c r="AD115" i="30"/>
  <c r="T253" i="30"/>
  <c r="AB253" i="30"/>
  <c r="AJ253" i="30"/>
  <c r="AR253" i="30"/>
  <c r="AZ253" i="30"/>
  <c r="BE254" i="30"/>
  <c r="E133" i="30"/>
  <c r="E286" i="30" s="1"/>
  <c r="AS133" i="30"/>
  <c r="K133" i="30"/>
  <c r="K286" i="30" s="1"/>
  <c r="M133" i="30"/>
  <c r="M286" i="30" s="1"/>
  <c r="X230" i="30"/>
  <c r="X233" i="30" s="1"/>
  <c r="H133" i="30"/>
  <c r="H286" i="30" s="1"/>
  <c r="T115" i="30"/>
  <c r="AB115" i="30"/>
  <c r="AJ115" i="30"/>
  <c r="AR115" i="30"/>
  <c r="AZ115" i="30"/>
  <c r="P229" i="30"/>
  <c r="P232" i="30" s="1"/>
  <c r="P136" i="30" s="1"/>
  <c r="P147" i="30" s="1"/>
  <c r="AF230" i="30"/>
  <c r="BD231" i="30"/>
  <c r="BD233" i="30" s="1"/>
  <c r="U115" i="30"/>
  <c r="AC115" i="30"/>
  <c r="AK115" i="30"/>
  <c r="AS115" i="30"/>
  <c r="BA115" i="30"/>
  <c r="R115" i="30"/>
  <c r="Z115" i="30"/>
  <c r="AH115" i="30"/>
  <c r="AP115" i="30"/>
  <c r="AX115" i="30"/>
  <c r="G133" i="30"/>
  <c r="G286" i="30" s="1"/>
  <c r="AN230" i="30"/>
  <c r="AN233" i="30" s="1"/>
  <c r="AL115" i="30"/>
  <c r="AT115" i="30"/>
  <c r="BB115" i="30"/>
  <c r="AV230" i="30"/>
  <c r="AC254" i="30"/>
  <c r="AS254" i="30"/>
  <c r="T255" i="30"/>
  <c r="AU115" i="30"/>
  <c r="Q133" i="30"/>
  <c r="AN229" i="30"/>
  <c r="P115" i="30"/>
  <c r="X115" i="30"/>
  <c r="AF115" i="30"/>
  <c r="AN115" i="30"/>
  <c r="AV115" i="30"/>
  <c r="J133" i="30"/>
  <c r="J286" i="30" s="1"/>
  <c r="AN133" i="30"/>
  <c r="AV133" i="30"/>
  <c r="P231" i="30"/>
  <c r="P233" i="30" s="1"/>
  <c r="AM254" i="30"/>
  <c r="G115" i="30"/>
  <c r="G283" i="30" s="1"/>
  <c r="L133" i="30"/>
  <c r="L286" i="30" s="1"/>
  <c r="BJ266" i="30"/>
  <c r="BJ42" i="30" s="1"/>
  <c r="BJ30" i="30" s="1"/>
  <c r="BB266" i="30"/>
  <c r="BB42" i="30" s="1"/>
  <c r="BB30" i="30" s="1"/>
  <c r="AT266" i="30"/>
  <c r="AT42" i="30" s="1"/>
  <c r="AT30" i="30" s="1"/>
  <c r="AL266" i="30"/>
  <c r="AL42" i="30" s="1"/>
  <c r="AL30" i="30" s="1"/>
  <c r="AD266" i="30"/>
  <c r="AD42" i="30" s="1"/>
  <c r="AD30" i="30" s="1"/>
  <c r="V266" i="30"/>
  <c r="V42" i="30" s="1"/>
  <c r="V30" i="30" s="1"/>
  <c r="N266" i="30"/>
  <c r="BI266" i="30"/>
  <c r="BI42" i="30" s="1"/>
  <c r="BI30" i="30" s="1"/>
  <c r="BA266" i="30"/>
  <c r="BA42" i="30" s="1"/>
  <c r="BA30" i="30" s="1"/>
  <c r="AS266" i="30"/>
  <c r="AS42" i="30" s="1"/>
  <c r="AS30" i="30" s="1"/>
  <c r="AK266" i="30"/>
  <c r="AK42" i="30" s="1"/>
  <c r="AK30" i="30" s="1"/>
  <c r="AC266" i="30"/>
  <c r="AC42" i="30" s="1"/>
  <c r="AC30" i="30" s="1"/>
  <c r="U266" i="30"/>
  <c r="U42" i="30" s="1"/>
  <c r="U30" i="30" s="1"/>
  <c r="BD266" i="30"/>
  <c r="BD42" i="30" s="1"/>
  <c r="BD30" i="30" s="1"/>
  <c r="AR266" i="30"/>
  <c r="AR42" i="30" s="1"/>
  <c r="AR30" i="30" s="1"/>
  <c r="AH266" i="30"/>
  <c r="AH42" i="30" s="1"/>
  <c r="AH30" i="30" s="1"/>
  <c r="X266" i="30"/>
  <c r="X42" i="30" s="1"/>
  <c r="X30" i="30" s="1"/>
  <c r="AZ266" i="30"/>
  <c r="AZ42" i="30" s="1"/>
  <c r="AZ30" i="30" s="1"/>
  <c r="AP266" i="30"/>
  <c r="AP42" i="30" s="1"/>
  <c r="AP30" i="30" s="1"/>
  <c r="AF266" i="30"/>
  <c r="AF42" i="30" s="1"/>
  <c r="AF30" i="30" s="1"/>
  <c r="T266" i="30"/>
  <c r="T42" i="30" s="1"/>
  <c r="T30" i="30" s="1"/>
  <c r="BH266" i="30"/>
  <c r="BH42" i="30" s="1"/>
  <c r="BH30" i="30" s="1"/>
  <c r="AX266" i="30"/>
  <c r="AX42" i="30" s="1"/>
  <c r="AX30" i="30" s="1"/>
  <c r="AN266" i="30"/>
  <c r="AN42" i="30" s="1"/>
  <c r="AN30" i="30" s="1"/>
  <c r="AB266" i="30"/>
  <c r="AB42" i="30" s="1"/>
  <c r="AB30" i="30" s="1"/>
  <c r="R266" i="30"/>
  <c r="R42" i="30" s="1"/>
  <c r="R30" i="30" s="1"/>
  <c r="BF266" i="30"/>
  <c r="BF42" i="30" s="1"/>
  <c r="BF30" i="30" s="1"/>
  <c r="AO266" i="30"/>
  <c r="AO42" i="30" s="1"/>
  <c r="AO30" i="30" s="1"/>
  <c r="Y266" i="30"/>
  <c r="Y42" i="30" s="1"/>
  <c r="Y30" i="30" s="1"/>
  <c r="BE266" i="30"/>
  <c r="BE42" i="30" s="1"/>
  <c r="BE30" i="30" s="1"/>
  <c r="AM266" i="30"/>
  <c r="AM42" i="30" s="1"/>
  <c r="AM30" i="30" s="1"/>
  <c r="W266" i="30"/>
  <c r="W42" i="30" s="1"/>
  <c r="W30" i="30" s="1"/>
  <c r="BC266" i="30"/>
  <c r="BC42" i="30" s="1"/>
  <c r="BC30" i="30" s="1"/>
  <c r="AJ266" i="30"/>
  <c r="AJ42" i="30" s="1"/>
  <c r="AJ30" i="30" s="1"/>
  <c r="S266" i="30"/>
  <c r="S42" i="30" s="1"/>
  <c r="S30" i="30" s="1"/>
  <c r="AY266" i="30"/>
  <c r="AY42" i="30" s="1"/>
  <c r="AY30" i="30" s="1"/>
  <c r="AI266" i="30"/>
  <c r="AI42" i="30" s="1"/>
  <c r="AI30" i="30" s="1"/>
  <c r="Q266" i="30"/>
  <c r="Q42" i="30" s="1"/>
  <c r="Q30" i="30" s="1"/>
  <c r="AW266" i="30"/>
  <c r="AW42" i="30" s="1"/>
  <c r="AW30" i="30" s="1"/>
  <c r="AG266" i="30"/>
  <c r="AG42" i="30" s="1"/>
  <c r="AG30" i="30" s="1"/>
  <c r="P266" i="30"/>
  <c r="P42" i="30" s="1"/>
  <c r="P30" i="30" s="1"/>
  <c r="AV266" i="30"/>
  <c r="AV42" i="30" s="1"/>
  <c r="AV30" i="30" s="1"/>
  <c r="AE266" i="30"/>
  <c r="AE42" i="30" s="1"/>
  <c r="AE30" i="30" s="1"/>
  <c r="O266" i="30"/>
  <c r="O42" i="30" s="1"/>
  <c r="O30" i="30" s="1"/>
  <c r="AU266" i="30"/>
  <c r="AU42" i="30" s="1"/>
  <c r="AU30" i="30" s="1"/>
  <c r="AA266" i="30"/>
  <c r="AA42" i="30" s="1"/>
  <c r="AA30" i="30" s="1"/>
  <c r="BG266" i="30"/>
  <c r="BG42" i="30" s="1"/>
  <c r="BG30" i="30" s="1"/>
  <c r="AQ266" i="30"/>
  <c r="AQ42" i="30" s="1"/>
  <c r="AQ30" i="30" s="1"/>
  <c r="Z266" i="30"/>
  <c r="Z42" i="30" s="1"/>
  <c r="Z30" i="30" s="1"/>
  <c r="BK231" i="30"/>
  <c r="J284" i="30"/>
  <c r="J299" i="30" s="1"/>
  <c r="G300" i="30"/>
  <c r="D115" i="30"/>
  <c r="D283" i="30" s="1"/>
  <c r="L115" i="30"/>
  <c r="L283" i="30" s="1"/>
  <c r="F133" i="30"/>
  <c r="F286" i="30" s="1"/>
  <c r="N253" i="30"/>
  <c r="N230" i="30"/>
  <c r="N133" i="30"/>
  <c r="V253" i="30"/>
  <c r="V230" i="30"/>
  <c r="V133" i="30"/>
  <c r="AD253" i="30"/>
  <c r="AD230" i="30"/>
  <c r="AD133" i="30"/>
  <c r="AL253" i="30"/>
  <c r="AL231" i="30"/>
  <c r="AL230" i="30"/>
  <c r="AL133" i="30"/>
  <c r="AT253" i="30"/>
  <c r="AT231" i="30"/>
  <c r="AT230" i="30"/>
  <c r="AT133" i="30"/>
  <c r="BB253" i="30"/>
  <c r="BB231" i="30"/>
  <c r="BB230" i="30"/>
  <c r="BB133" i="30"/>
  <c r="BJ253" i="30"/>
  <c r="BJ231" i="30"/>
  <c r="BJ230" i="30"/>
  <c r="BJ133" i="30"/>
  <c r="S243" i="30"/>
  <c r="S241" i="30"/>
  <c r="AA243" i="30"/>
  <c r="AA241" i="30"/>
  <c r="AA242" i="30"/>
  <c r="AI243" i="30"/>
  <c r="AI241" i="30"/>
  <c r="AI242" i="30"/>
  <c r="AQ243" i="30"/>
  <c r="AQ241" i="30"/>
  <c r="AQ254" i="30"/>
  <c r="AY243" i="30"/>
  <c r="AY241" i="30"/>
  <c r="BG243" i="30"/>
  <c r="BG241" i="30"/>
  <c r="P265" i="30"/>
  <c r="P263" i="30"/>
  <c r="P264" i="30" s="1"/>
  <c r="X265" i="30"/>
  <c r="X263" i="30"/>
  <c r="X264" i="30" s="1"/>
  <c r="AF265" i="30"/>
  <c r="AF263" i="30"/>
  <c r="AF264" i="30" s="1"/>
  <c r="AN265" i="30"/>
  <c r="AN263" i="30"/>
  <c r="AN264" i="30" s="1"/>
  <c r="AV265" i="30"/>
  <c r="AV263" i="30"/>
  <c r="AV264" i="30" s="1"/>
  <c r="U270" i="30"/>
  <c r="U271" i="30"/>
  <c r="U39" i="30" s="1"/>
  <c r="U27" i="30" s="1"/>
  <c r="AC270" i="30"/>
  <c r="AC271" i="30"/>
  <c r="AC39" i="30" s="1"/>
  <c r="AC27" i="30" s="1"/>
  <c r="AK270" i="30"/>
  <c r="AK271" i="30"/>
  <c r="AK39" i="30" s="1"/>
  <c r="AK27" i="30" s="1"/>
  <c r="AS270" i="30"/>
  <c r="AS271" i="30"/>
  <c r="AS39" i="30" s="1"/>
  <c r="AS27" i="30" s="1"/>
  <c r="BA270" i="30"/>
  <c r="BA271" i="30"/>
  <c r="BA39" i="30" s="1"/>
  <c r="BA27" i="30" s="1"/>
  <c r="BI270" i="30"/>
  <c r="BI271" i="30"/>
  <c r="BI39" i="30" s="1"/>
  <c r="BI27" i="30" s="1"/>
  <c r="R276" i="30"/>
  <c r="R277" i="30"/>
  <c r="R43" i="30" s="1"/>
  <c r="R31" i="30" s="1"/>
  <c r="Z276" i="30"/>
  <c r="Z277" i="30"/>
  <c r="Z43" i="30" s="1"/>
  <c r="Z31" i="30" s="1"/>
  <c r="AH276" i="30"/>
  <c r="AH277" i="30"/>
  <c r="AH43" i="30" s="1"/>
  <c r="AH31" i="30" s="1"/>
  <c r="AP276" i="30"/>
  <c r="AP277" i="30"/>
  <c r="AP43" i="30" s="1"/>
  <c r="AP31" i="30" s="1"/>
  <c r="AX276" i="30"/>
  <c r="AX277" i="30"/>
  <c r="AX43" i="30" s="1"/>
  <c r="AX31" i="30" s="1"/>
  <c r="BF276" i="30"/>
  <c r="BF277" i="30"/>
  <c r="BF43" i="30" s="1"/>
  <c r="BF31" i="30" s="1"/>
  <c r="Z133" i="30"/>
  <c r="AI133" i="30"/>
  <c r="AR133" i="30"/>
  <c r="BA133" i="30"/>
  <c r="V229" i="30"/>
  <c r="AQ229" i="30"/>
  <c r="BB229" i="30"/>
  <c r="AJ230" i="30"/>
  <c r="BF230" i="30"/>
  <c r="BF233" i="30" s="1"/>
  <c r="S231" i="30"/>
  <c r="AD231" i="30"/>
  <c r="AQ231" i="30"/>
  <c r="AN241" i="30"/>
  <c r="BE241" i="30"/>
  <c r="N242" i="30"/>
  <c r="N244" i="30" s="1"/>
  <c r="N138" i="30" s="1"/>
  <c r="N149" i="30" s="1"/>
  <c r="AD242" i="30"/>
  <c r="AD244" i="30" s="1"/>
  <c r="AD138" i="30" s="1"/>
  <c r="AD149" i="30" s="1"/>
  <c r="AX242" i="30"/>
  <c r="AX244" i="30" s="1"/>
  <c r="AX138" i="30" s="1"/>
  <c r="AX149" i="30" s="1"/>
  <c r="BF243" i="30"/>
  <c r="BF245" i="30" s="1"/>
  <c r="BF139" i="30" s="1"/>
  <c r="BF150" i="30" s="1"/>
  <c r="AD254" i="30"/>
  <c r="BJ254" i="30"/>
  <c r="AK255" i="30"/>
  <c r="BI255" i="30"/>
  <c r="R253" i="30"/>
  <c r="AY253" i="30"/>
  <c r="AS255" i="30"/>
  <c r="K284" i="30"/>
  <c r="K299" i="30" s="1"/>
  <c r="H300" i="30"/>
  <c r="E115" i="30"/>
  <c r="E283" i="30" s="1"/>
  <c r="M115" i="30"/>
  <c r="M283" i="30" s="1"/>
  <c r="O253" i="30"/>
  <c r="W253" i="30"/>
  <c r="AU231" i="30"/>
  <c r="AU253" i="30"/>
  <c r="BC253" i="30"/>
  <c r="BC231" i="30"/>
  <c r="T243" i="30"/>
  <c r="T241" i="30"/>
  <c r="AB243" i="30"/>
  <c r="AB241" i="30"/>
  <c r="AJ243" i="30"/>
  <c r="AJ241" i="30"/>
  <c r="AR243" i="30"/>
  <c r="AR241" i="30"/>
  <c r="AZ243" i="30"/>
  <c r="AZ241" i="30"/>
  <c r="AZ242" i="30"/>
  <c r="BH243" i="30"/>
  <c r="BH241" i="30"/>
  <c r="Q265" i="30"/>
  <c r="Q263" i="30"/>
  <c r="Q264" i="30" s="1"/>
  <c r="Y265" i="30"/>
  <c r="Y263" i="30"/>
  <c r="Y264" i="30" s="1"/>
  <c r="AG265" i="30"/>
  <c r="AG263" i="30"/>
  <c r="AG264" i="30" s="1"/>
  <c r="AO265" i="30"/>
  <c r="AO263" i="30"/>
  <c r="AO264" i="30" s="1"/>
  <c r="AW265" i="30"/>
  <c r="AW263" i="30"/>
  <c r="AW264" i="30" s="1"/>
  <c r="N271" i="30"/>
  <c r="N270" i="30"/>
  <c r="V271" i="30"/>
  <c r="V39" i="30" s="1"/>
  <c r="V27" i="30" s="1"/>
  <c r="V270" i="30"/>
  <c r="AD271" i="30"/>
  <c r="AD39" i="30" s="1"/>
  <c r="AD27" i="30" s="1"/>
  <c r="AD270" i="30"/>
  <c r="AL271" i="30"/>
  <c r="AL39" i="30" s="1"/>
  <c r="AL27" i="30" s="1"/>
  <c r="AL270" i="30"/>
  <c r="AT271" i="30"/>
  <c r="AT39" i="30" s="1"/>
  <c r="AT27" i="30" s="1"/>
  <c r="AT270" i="30"/>
  <c r="BB271" i="30"/>
  <c r="BB39" i="30" s="1"/>
  <c r="BB27" i="30" s="1"/>
  <c r="BB270" i="30"/>
  <c r="BJ271" i="30"/>
  <c r="BJ39" i="30" s="1"/>
  <c r="BJ27" i="30" s="1"/>
  <c r="BJ270" i="30"/>
  <c r="S276" i="30"/>
  <c r="S277" i="30"/>
  <c r="S43" i="30" s="1"/>
  <c r="S31" i="30" s="1"/>
  <c r="AA276" i="30"/>
  <c r="AA277" i="30"/>
  <c r="AA43" i="30" s="1"/>
  <c r="AA31" i="30" s="1"/>
  <c r="AI276" i="30"/>
  <c r="AI277" i="30"/>
  <c r="AI43" i="30" s="1"/>
  <c r="AI31" i="30" s="1"/>
  <c r="AQ276" i="30"/>
  <c r="AQ277" i="30"/>
  <c r="AQ43" i="30" s="1"/>
  <c r="AQ31" i="30" s="1"/>
  <c r="AY276" i="30"/>
  <c r="AY277" i="30"/>
  <c r="AY43" i="30" s="1"/>
  <c r="AY31" i="30" s="1"/>
  <c r="BG276" i="30"/>
  <c r="BG277" i="30"/>
  <c r="BG43" i="30" s="1"/>
  <c r="BG31" i="30" s="1"/>
  <c r="I133" i="30"/>
  <c r="I286" i="30" s="1"/>
  <c r="R133" i="30"/>
  <c r="AA133" i="30"/>
  <c r="AJ133" i="30"/>
  <c r="BC133" i="30"/>
  <c r="W229" i="30"/>
  <c r="AG229" i="30"/>
  <c r="AR229" i="30"/>
  <c r="BC229" i="30"/>
  <c r="AA230" i="30"/>
  <c r="AA233" i="30" s="1"/>
  <c r="AK230" i="30"/>
  <c r="AK257" i="30" s="1"/>
  <c r="AK141" i="30" s="1"/>
  <c r="AK152" i="30" s="1"/>
  <c r="BG230" i="30"/>
  <c r="T231" i="30"/>
  <c r="AR231" i="30"/>
  <c r="BG231" i="30"/>
  <c r="Y241" i="30"/>
  <c r="AO241" i="30"/>
  <c r="BF241" i="30"/>
  <c r="R242" i="30"/>
  <c r="AY242" i="30"/>
  <c r="AG243" i="30"/>
  <c r="AG245" i="30" s="1"/>
  <c r="AG139" i="30" s="1"/>
  <c r="AG150" i="30" s="1"/>
  <c r="U253" i="30"/>
  <c r="BG255" i="30"/>
  <c r="R265" i="30"/>
  <c r="D284" i="30"/>
  <c r="D299" i="30" s="1"/>
  <c r="L284" i="30"/>
  <c r="L299" i="30" s="1"/>
  <c r="I300" i="30"/>
  <c r="F115" i="30"/>
  <c r="F283" i="30" s="1"/>
  <c r="P253" i="30"/>
  <c r="X253" i="30"/>
  <c r="X198" i="30" s="1"/>
  <c r="X206" i="30" s="1"/>
  <c r="X207" i="30" s="1"/>
  <c r="AF253" i="30"/>
  <c r="AF198" i="30" s="1"/>
  <c r="AF206" i="30" s="1"/>
  <c r="AF207" i="30" s="1"/>
  <c r="AV253" i="30"/>
  <c r="BD253" i="30"/>
  <c r="U243" i="30"/>
  <c r="U241" i="30"/>
  <c r="U242" i="30"/>
  <c r="AC243" i="30"/>
  <c r="AC241" i="30"/>
  <c r="AK243" i="30"/>
  <c r="AK241" i="30"/>
  <c r="AS243" i="30"/>
  <c r="AS241" i="30"/>
  <c r="BA243" i="30"/>
  <c r="BA241" i="30"/>
  <c r="BI243" i="30"/>
  <c r="BI241" i="30"/>
  <c r="BI242" i="30"/>
  <c r="Z263" i="30"/>
  <c r="Z264" i="30" s="1"/>
  <c r="Z265" i="30"/>
  <c r="AH263" i="30"/>
  <c r="AH264" i="30" s="1"/>
  <c r="AH265" i="30"/>
  <c r="AP263" i="30"/>
  <c r="AP264" i="30" s="1"/>
  <c r="AP265" i="30"/>
  <c r="AX263" i="30"/>
  <c r="AX264" i="30" s="1"/>
  <c r="AX265" i="30"/>
  <c r="O271" i="30"/>
  <c r="O39" i="30" s="1"/>
  <c r="O27" i="30" s="1"/>
  <c r="O270" i="30"/>
  <c r="O284" i="30" s="1"/>
  <c r="W271" i="30"/>
  <c r="W39" i="30" s="1"/>
  <c r="W27" i="30" s="1"/>
  <c r="W270" i="30"/>
  <c r="AE271" i="30"/>
  <c r="AE39" i="30" s="1"/>
  <c r="AE27" i="30" s="1"/>
  <c r="AE270" i="30"/>
  <c r="AM270" i="30"/>
  <c r="AM271" i="30"/>
  <c r="AM39" i="30" s="1"/>
  <c r="AM27" i="30" s="1"/>
  <c r="AU270" i="30"/>
  <c r="AU284" i="30" s="1"/>
  <c r="AU271" i="30"/>
  <c r="AU39" i="30" s="1"/>
  <c r="AU27" i="30" s="1"/>
  <c r="BC270" i="30"/>
  <c r="BC271" i="30"/>
  <c r="BC39" i="30" s="1"/>
  <c r="BC27" i="30" s="1"/>
  <c r="T277" i="30"/>
  <c r="T43" i="30" s="1"/>
  <c r="T31" i="30" s="1"/>
  <c r="T276" i="30"/>
  <c r="AB277" i="30"/>
  <c r="AB43" i="30" s="1"/>
  <c r="AB31" i="30" s="1"/>
  <c r="AB276" i="30"/>
  <c r="AJ277" i="30"/>
  <c r="AJ43" i="30" s="1"/>
  <c r="AJ31" i="30" s="1"/>
  <c r="AJ276" i="30"/>
  <c r="AR277" i="30"/>
  <c r="AR43" i="30" s="1"/>
  <c r="AR31" i="30" s="1"/>
  <c r="AR276" i="30"/>
  <c r="AZ277" i="30"/>
  <c r="AZ43" i="30" s="1"/>
  <c r="AZ31" i="30" s="1"/>
  <c r="AZ276" i="30"/>
  <c r="BH277" i="30"/>
  <c r="BH43" i="30" s="1"/>
  <c r="BH31" i="30" s="1"/>
  <c r="BH276" i="30"/>
  <c r="S133" i="30"/>
  <c r="AB133" i="30"/>
  <c r="AK133" i="30"/>
  <c r="AU133" i="30"/>
  <c r="BD133" i="30"/>
  <c r="N229" i="30"/>
  <c r="X229" i="30"/>
  <c r="AT229" i="30"/>
  <c r="BD229" i="30"/>
  <c r="BD232" i="30" s="1"/>
  <c r="BD136" i="30" s="1"/>
  <c r="BD147" i="30" s="1"/>
  <c r="AB230" i="30"/>
  <c r="AM230" i="30"/>
  <c r="AM233" i="30" s="1"/>
  <c r="BH230" i="30"/>
  <c r="BH233" i="30" s="1"/>
  <c r="V231" i="30"/>
  <c r="AV231" i="30"/>
  <c r="BI231" i="30"/>
  <c r="Z241" i="30"/>
  <c r="S242" i="30"/>
  <c r="AJ242" i="30"/>
  <c r="BA242" i="30"/>
  <c r="O243" i="30"/>
  <c r="O245" i="30" s="1"/>
  <c r="O139" i="30" s="1"/>
  <c r="O150" i="30" s="1"/>
  <c r="AM243" i="30"/>
  <c r="AM245" i="30" s="1"/>
  <c r="AM139" i="30" s="1"/>
  <c r="AM150" i="30" s="1"/>
  <c r="P254" i="30"/>
  <c r="P258" i="30"/>
  <c r="P252" i="30"/>
  <c r="X254" i="30"/>
  <c r="X252" i="30"/>
  <c r="AF254" i="30"/>
  <c r="AF258" i="30"/>
  <c r="AF252" i="30"/>
  <c r="AN254" i="30"/>
  <c r="AN252" i="30"/>
  <c r="AV254" i="30"/>
  <c r="AV258" i="30"/>
  <c r="AV252" i="30"/>
  <c r="BD254" i="30"/>
  <c r="BD256" i="30" s="1"/>
  <c r="BD140" i="30" s="1"/>
  <c r="BD151" i="30" s="1"/>
  <c r="BD75" i="32" s="1"/>
  <c r="BD252" i="30"/>
  <c r="O255" i="30"/>
  <c r="W259" i="30"/>
  <c r="W255" i="30"/>
  <c r="AE259" i="30"/>
  <c r="AM255" i="30"/>
  <c r="AM259" i="30"/>
  <c r="AU255" i="30"/>
  <c r="AU259" i="30"/>
  <c r="BC255" i="30"/>
  <c r="BC259" i="30"/>
  <c r="AA253" i="30"/>
  <c r="BH253" i="30"/>
  <c r="BA254" i="30"/>
  <c r="BD258" i="30"/>
  <c r="E284" i="30"/>
  <c r="E299" i="30" s="1"/>
  <c r="M284" i="30"/>
  <c r="M299" i="30" s="1"/>
  <c r="J300" i="30"/>
  <c r="Q255" i="30"/>
  <c r="Q253" i="30"/>
  <c r="Q230" i="30"/>
  <c r="Y253" i="30"/>
  <c r="Y230" i="30"/>
  <c r="AG253" i="30"/>
  <c r="AG230" i="30"/>
  <c r="AG233" i="30" s="1"/>
  <c r="AG255" i="30"/>
  <c r="AO255" i="30"/>
  <c r="AO253" i="30"/>
  <c r="AO230" i="30"/>
  <c r="BE255" i="30"/>
  <c r="BE230" i="30"/>
  <c r="BE231" i="30"/>
  <c r="AL243" i="30"/>
  <c r="AL242" i="30"/>
  <c r="AT243" i="30"/>
  <c r="AT242" i="30"/>
  <c r="BJ243" i="30"/>
  <c r="BJ241" i="30"/>
  <c r="S263" i="30"/>
  <c r="S264" i="30" s="1"/>
  <c r="S265" i="30"/>
  <c r="AA263" i="30"/>
  <c r="AA264" i="30" s="1"/>
  <c r="AA265" i="30"/>
  <c r="AI263" i="30"/>
  <c r="AI264" i="30" s="1"/>
  <c r="AI265" i="30"/>
  <c r="AQ263" i="30"/>
  <c r="AQ264" i="30" s="1"/>
  <c r="AQ265" i="30"/>
  <c r="AY263" i="30"/>
  <c r="AY264" i="30" s="1"/>
  <c r="AY265" i="30"/>
  <c r="P271" i="30"/>
  <c r="P39" i="30" s="1"/>
  <c r="P27" i="30" s="1"/>
  <c r="P270" i="30"/>
  <c r="P284" i="30" s="1"/>
  <c r="X271" i="30"/>
  <c r="X39" i="30" s="1"/>
  <c r="X27" i="30" s="1"/>
  <c r="X270" i="30"/>
  <c r="AF271" i="30"/>
  <c r="AF39" i="30" s="1"/>
  <c r="AF27" i="30" s="1"/>
  <c r="AF270" i="30"/>
  <c r="AN270" i="30"/>
  <c r="AN271" i="30"/>
  <c r="AN39" i="30" s="1"/>
  <c r="AN27" i="30" s="1"/>
  <c r="AV271" i="30"/>
  <c r="AV39" i="30" s="1"/>
  <c r="AV27" i="30" s="1"/>
  <c r="AV270" i="30"/>
  <c r="BD271" i="30"/>
  <c r="BD39" i="30" s="1"/>
  <c r="BD27" i="30" s="1"/>
  <c r="BD270" i="30"/>
  <c r="U277" i="30"/>
  <c r="U43" i="30" s="1"/>
  <c r="U31" i="30" s="1"/>
  <c r="U276" i="30"/>
  <c r="AC276" i="30"/>
  <c r="AC277" i="30"/>
  <c r="AC43" i="30" s="1"/>
  <c r="AC31" i="30" s="1"/>
  <c r="AK277" i="30"/>
  <c r="AK43" i="30" s="1"/>
  <c r="AK31" i="30" s="1"/>
  <c r="AK276" i="30"/>
  <c r="AS276" i="30"/>
  <c r="AS277" i="30"/>
  <c r="AS43" i="30" s="1"/>
  <c r="AS31" i="30" s="1"/>
  <c r="BA277" i="30"/>
  <c r="BA43" i="30" s="1"/>
  <c r="BA31" i="30" s="1"/>
  <c r="BA276" i="30"/>
  <c r="BI276" i="30"/>
  <c r="BI277" i="30"/>
  <c r="BI43" i="30" s="1"/>
  <c r="BI31" i="30" s="1"/>
  <c r="T133" i="30"/>
  <c r="AC133" i="30"/>
  <c r="AM133" i="30"/>
  <c r="BE133" i="30"/>
  <c r="O229" i="30"/>
  <c r="O232" i="30" s="1"/>
  <c r="O136" i="30" s="1"/>
  <c r="O147" i="30" s="1"/>
  <c r="Y229" i="30"/>
  <c r="AJ229" i="30"/>
  <c r="AU229" i="30"/>
  <c r="AU232" i="30" s="1"/>
  <c r="AU136" i="30" s="1"/>
  <c r="AU147" i="30" s="1"/>
  <c r="BE229" i="30"/>
  <c r="S230" i="30"/>
  <c r="AC230" i="30"/>
  <c r="AY230" i="30"/>
  <c r="W231" i="30"/>
  <c r="AW231" i="30"/>
  <c r="N241" i="30"/>
  <c r="AD241" i="30"/>
  <c r="AU241" i="30"/>
  <c r="T242" i="30"/>
  <c r="AK242" i="30"/>
  <c r="BB242" i="30"/>
  <c r="BB244" i="30" s="1"/>
  <c r="BB138" i="30" s="1"/>
  <c r="BB149" i="30" s="1"/>
  <c r="P243" i="30"/>
  <c r="P245" i="30" s="1"/>
  <c r="P139" i="30" s="1"/>
  <c r="P150" i="30" s="1"/>
  <c r="R254" i="30"/>
  <c r="F284" i="30"/>
  <c r="F299" i="30" s="1"/>
  <c r="K300" i="30"/>
  <c r="H115" i="30"/>
  <c r="H283" i="30" s="1"/>
  <c r="R231" i="30"/>
  <c r="R229" i="30"/>
  <c r="R232" i="30" s="1"/>
  <c r="R136" i="30" s="1"/>
  <c r="R147" i="30" s="1"/>
  <c r="Z253" i="30"/>
  <c r="Z231" i="30"/>
  <c r="Z229" i="30"/>
  <c r="Z232" i="30" s="1"/>
  <c r="Z136" i="30" s="1"/>
  <c r="Z147" i="30" s="1"/>
  <c r="AH253" i="30"/>
  <c r="AH229" i="30"/>
  <c r="AP253" i="30"/>
  <c r="AP229" i="30"/>
  <c r="AX253" i="30"/>
  <c r="AX231" i="30"/>
  <c r="AX229" i="30"/>
  <c r="AX232" i="30" s="1"/>
  <c r="AX136" i="30" s="1"/>
  <c r="AX147" i="30" s="1"/>
  <c r="BF253" i="30"/>
  <c r="BF229" i="30"/>
  <c r="O244" i="30"/>
  <c r="O138" i="30" s="1"/>
  <c r="O149" i="30" s="1"/>
  <c r="W242" i="30"/>
  <c r="W241" i="30"/>
  <c r="AE242" i="30"/>
  <c r="AE244" i="30" s="1"/>
  <c r="AE138" i="30" s="1"/>
  <c r="AE149" i="30" s="1"/>
  <c r="AE241" i="30"/>
  <c r="T263" i="30"/>
  <c r="T264" i="30" s="1"/>
  <c r="T265" i="30"/>
  <c r="AB263" i="30"/>
  <c r="AB264" i="30" s="1"/>
  <c r="AB265" i="30"/>
  <c r="AJ263" i="30"/>
  <c r="AJ264" i="30" s="1"/>
  <c r="AJ265" i="30"/>
  <c r="AR263" i="30"/>
  <c r="AR264" i="30" s="1"/>
  <c r="AR265" i="30"/>
  <c r="AZ263" i="30"/>
  <c r="AZ264" i="30" s="1"/>
  <c r="AZ265" i="30"/>
  <c r="Q271" i="30"/>
  <c r="Q39" i="30" s="1"/>
  <c r="Q27" i="30" s="1"/>
  <c r="Q270" i="30"/>
  <c r="Y271" i="30"/>
  <c r="Y39" i="30" s="1"/>
  <c r="Y27" i="30" s="1"/>
  <c r="Y270" i="30"/>
  <c r="AG271" i="30"/>
  <c r="AG39" i="30" s="1"/>
  <c r="AG27" i="30" s="1"/>
  <c r="AG270" i="30"/>
  <c r="AO271" i="30"/>
  <c r="AO39" i="30" s="1"/>
  <c r="AO27" i="30" s="1"/>
  <c r="AO270" i="30"/>
  <c r="AW271" i="30"/>
  <c r="AW39" i="30" s="1"/>
  <c r="AW27" i="30" s="1"/>
  <c r="AW270" i="30"/>
  <c r="AW284" i="30" s="1"/>
  <c r="BE271" i="30"/>
  <c r="BE39" i="30" s="1"/>
  <c r="BE27" i="30" s="1"/>
  <c r="BE270" i="30"/>
  <c r="N277" i="30"/>
  <c r="N276" i="30"/>
  <c r="V277" i="30"/>
  <c r="V43" i="30" s="1"/>
  <c r="V31" i="30" s="1"/>
  <c r="V276" i="30"/>
  <c r="AD277" i="30"/>
  <c r="AD43" i="30" s="1"/>
  <c r="AD31" i="30" s="1"/>
  <c r="AD276" i="30"/>
  <c r="AL277" i="30"/>
  <c r="AL43" i="30" s="1"/>
  <c r="AL31" i="30" s="1"/>
  <c r="AL276" i="30"/>
  <c r="AT277" i="30"/>
  <c r="AT43" i="30" s="1"/>
  <c r="AT31" i="30" s="1"/>
  <c r="AT276" i="30"/>
  <c r="BB277" i="30"/>
  <c r="BB43" i="30" s="1"/>
  <c r="BB31" i="30" s="1"/>
  <c r="BB276" i="30"/>
  <c r="BJ277" i="30"/>
  <c r="BJ43" i="30" s="1"/>
  <c r="BJ31" i="30" s="1"/>
  <c r="BJ276" i="30"/>
  <c r="U133" i="30"/>
  <c r="AE133" i="30"/>
  <c r="AW133" i="30"/>
  <c r="BF133" i="30"/>
  <c r="AA229" i="30"/>
  <c r="BG229" i="30"/>
  <c r="T230" i="30"/>
  <c r="AE230" i="30"/>
  <c r="AE233" i="30" s="1"/>
  <c r="AP230" i="30"/>
  <c r="AZ230" i="30"/>
  <c r="AJ231" i="30"/>
  <c r="AY231" i="30"/>
  <c r="O241" i="30"/>
  <c r="AW241" i="30"/>
  <c r="V242" i="30"/>
  <c r="V244" i="30" s="1"/>
  <c r="V138" i="30" s="1"/>
  <c r="V149" i="30" s="1"/>
  <c r="BG242" i="30"/>
  <c r="R243" i="30"/>
  <c r="AU243" i="30"/>
  <c r="AU245" i="30" s="1"/>
  <c r="AU139" i="30" s="1"/>
  <c r="AU150" i="30" s="1"/>
  <c r="AE253" i="30"/>
  <c r="U254" i="30"/>
  <c r="S255" i="30"/>
  <c r="G284" i="30"/>
  <c r="G299" i="30" s="1"/>
  <c r="D300" i="30"/>
  <c r="L300" i="30"/>
  <c r="I115" i="30"/>
  <c r="I283" i="30" s="1"/>
  <c r="AI253" i="30"/>
  <c r="AI231" i="30"/>
  <c r="X242" i="30"/>
  <c r="X213" i="30" s="1"/>
  <c r="X221" i="30" s="1"/>
  <c r="X222" i="30" s="1"/>
  <c r="X243" i="30"/>
  <c r="AF243" i="30"/>
  <c r="AF242" i="30"/>
  <c r="AF213" i="30" s="1"/>
  <c r="AF221" i="30" s="1"/>
  <c r="AF222" i="30" s="1"/>
  <c r="AN243" i="30"/>
  <c r="AN242" i="30"/>
  <c r="AV243" i="30"/>
  <c r="AV242" i="30"/>
  <c r="AV241" i="30"/>
  <c r="BD243" i="30"/>
  <c r="BD242" i="30"/>
  <c r="BD241" i="30"/>
  <c r="U263" i="30"/>
  <c r="U264" i="30" s="1"/>
  <c r="U265" i="30"/>
  <c r="AC265" i="30"/>
  <c r="AC263" i="30"/>
  <c r="AC264" i="30" s="1"/>
  <c r="AK263" i="30"/>
  <c r="AK264" i="30" s="1"/>
  <c r="AK265" i="30"/>
  <c r="AS263" i="30"/>
  <c r="AS264" i="30" s="1"/>
  <c r="AS265" i="30"/>
  <c r="BA263" i="30"/>
  <c r="BA264" i="30" s="1"/>
  <c r="BA265" i="30"/>
  <c r="R271" i="30"/>
  <c r="R39" i="30" s="1"/>
  <c r="R27" i="30" s="1"/>
  <c r="R270" i="30"/>
  <c r="Z271" i="30"/>
  <c r="Z39" i="30" s="1"/>
  <c r="Z27" i="30" s="1"/>
  <c r="Z270" i="30"/>
  <c r="AH271" i="30"/>
  <c r="AH39" i="30" s="1"/>
  <c r="AH27" i="30" s="1"/>
  <c r="AH270" i="30"/>
  <c r="AP270" i="30"/>
  <c r="AP271" i="30"/>
  <c r="AP39" i="30" s="1"/>
  <c r="AP27" i="30" s="1"/>
  <c r="AX270" i="30"/>
  <c r="AX271" i="30"/>
  <c r="AX39" i="30" s="1"/>
  <c r="AX27" i="30" s="1"/>
  <c r="BF270" i="30"/>
  <c r="BF271" i="30"/>
  <c r="BF39" i="30" s="1"/>
  <c r="BF27" i="30" s="1"/>
  <c r="O276" i="30"/>
  <c r="O277" i="30"/>
  <c r="O43" i="30" s="1"/>
  <c r="O31" i="30" s="1"/>
  <c r="W276" i="30"/>
  <c r="W277" i="30"/>
  <c r="W43" i="30" s="1"/>
  <c r="W31" i="30" s="1"/>
  <c r="AE276" i="30"/>
  <c r="AE277" i="30"/>
  <c r="AE43" i="30" s="1"/>
  <c r="AE31" i="30" s="1"/>
  <c r="AM276" i="30"/>
  <c r="AM277" i="30"/>
  <c r="AM43" i="30" s="1"/>
  <c r="AM31" i="30" s="1"/>
  <c r="AU276" i="30"/>
  <c r="AU277" i="30"/>
  <c r="AU43" i="30" s="1"/>
  <c r="AU31" i="30" s="1"/>
  <c r="BC276" i="30"/>
  <c r="BC277" i="30"/>
  <c r="BC43" i="30" s="1"/>
  <c r="BC31" i="30" s="1"/>
  <c r="W133" i="30"/>
  <c r="AF133" i="30"/>
  <c r="AO133" i="30"/>
  <c r="AX133" i="30"/>
  <c r="BG133" i="30"/>
  <c r="Q229" i="30"/>
  <c r="AB229" i="30"/>
  <c r="AM229" i="30"/>
  <c r="AW229" i="30"/>
  <c r="AW232" i="30" s="1"/>
  <c r="AW136" i="30" s="1"/>
  <c r="AW147" i="30" s="1"/>
  <c r="BH229" i="30"/>
  <c r="AQ230" i="30"/>
  <c r="BA230" i="30"/>
  <c r="O231" i="30"/>
  <c r="Y231" i="30"/>
  <c r="AZ231" i="30"/>
  <c r="P241" i="30"/>
  <c r="AG241" i="30"/>
  <c r="AX241" i="30"/>
  <c r="Z242" i="30"/>
  <c r="Z244" i="30" s="1"/>
  <c r="Z138" i="30" s="1"/>
  <c r="Z149" i="30" s="1"/>
  <c r="AQ242" i="30"/>
  <c r="BH242" i="30"/>
  <c r="W243" i="30"/>
  <c r="AW243" i="30"/>
  <c r="AW245" i="30" s="1"/>
  <c r="AW139" i="30" s="1"/>
  <c r="AW150" i="30" s="1"/>
  <c r="AI254" i="30"/>
  <c r="BG254" i="30"/>
  <c r="AM253" i="30"/>
  <c r="H284" i="30"/>
  <c r="H299" i="30" s="1"/>
  <c r="E300" i="30"/>
  <c r="M300" i="30"/>
  <c r="J115" i="30"/>
  <c r="J283" i="30" s="1"/>
  <c r="Q254" i="30"/>
  <c r="Q242" i="30"/>
  <c r="Q243" i="30"/>
  <c r="Q241" i="30"/>
  <c r="AO254" i="30"/>
  <c r="AO242" i="30"/>
  <c r="AO244" i="30" s="1"/>
  <c r="AO138" i="30" s="1"/>
  <c r="AO149" i="30" s="1"/>
  <c r="BE242" i="30"/>
  <c r="BE243" i="30"/>
  <c r="N265" i="30"/>
  <c r="N263" i="30"/>
  <c r="N264" i="30" s="1"/>
  <c r="V263" i="30"/>
  <c r="V264" i="30" s="1"/>
  <c r="V265" i="30"/>
  <c r="AL263" i="30"/>
  <c r="AL264" i="30" s="1"/>
  <c r="AL265" i="30"/>
  <c r="AT263" i="30"/>
  <c r="AT264" i="30" s="1"/>
  <c r="AT265" i="30"/>
  <c r="BB263" i="30"/>
  <c r="BB264" i="30" s="1"/>
  <c r="BB265" i="30"/>
  <c r="S271" i="30"/>
  <c r="S39" i="30" s="1"/>
  <c r="S27" i="30" s="1"/>
  <c r="S270" i="30"/>
  <c r="AA271" i="30"/>
  <c r="AA39" i="30" s="1"/>
  <c r="AA27" i="30" s="1"/>
  <c r="AA270" i="30"/>
  <c r="AI271" i="30"/>
  <c r="AI39" i="30" s="1"/>
  <c r="AI27" i="30" s="1"/>
  <c r="AI270" i="30"/>
  <c r="AQ271" i="30"/>
  <c r="AQ39" i="30" s="1"/>
  <c r="AQ27" i="30" s="1"/>
  <c r="AQ270" i="30"/>
  <c r="AY271" i="30"/>
  <c r="AY39" i="30" s="1"/>
  <c r="AY27" i="30" s="1"/>
  <c r="AY270" i="30"/>
  <c r="BG271" i="30"/>
  <c r="BG39" i="30" s="1"/>
  <c r="BG27" i="30" s="1"/>
  <c r="BG270" i="30"/>
  <c r="P277" i="30"/>
  <c r="P43" i="30" s="1"/>
  <c r="P31" i="30" s="1"/>
  <c r="P276" i="30"/>
  <c r="X277" i="30"/>
  <c r="X43" i="30" s="1"/>
  <c r="X31" i="30" s="1"/>
  <c r="X276" i="30"/>
  <c r="AF277" i="30"/>
  <c r="AF43" i="30" s="1"/>
  <c r="AF31" i="30" s="1"/>
  <c r="AF276" i="30"/>
  <c r="AN277" i="30"/>
  <c r="AN43" i="30" s="1"/>
  <c r="AN31" i="30" s="1"/>
  <c r="AN276" i="30"/>
  <c r="AV277" i="30"/>
  <c r="AV43" i="30" s="1"/>
  <c r="AV31" i="30" s="1"/>
  <c r="AV276" i="30"/>
  <c r="BD277" i="30"/>
  <c r="BD43" i="30" s="1"/>
  <c r="BD31" i="30" s="1"/>
  <c r="BD276" i="30"/>
  <c r="O133" i="30"/>
  <c r="X133" i="30"/>
  <c r="AG133" i="30"/>
  <c r="AP133" i="30"/>
  <c r="AY133" i="30"/>
  <c r="BH133" i="30"/>
  <c r="S229" i="30"/>
  <c r="W230" i="30"/>
  <c r="AH230" i="30"/>
  <c r="AR230" i="30"/>
  <c r="BC230" i="30"/>
  <c r="AO231" i="30"/>
  <c r="AL241" i="30"/>
  <c r="BB241" i="30"/>
  <c r="AB242" i="30"/>
  <c r="AR242" i="30"/>
  <c r="BJ242" i="30"/>
  <c r="Y243" i="30"/>
  <c r="Y245" i="30" s="1"/>
  <c r="Y139" i="30" s="1"/>
  <c r="Y150" i="30" s="1"/>
  <c r="L246" i="30"/>
  <c r="M247" i="30"/>
  <c r="M239" i="30" s="1"/>
  <c r="M238" i="30"/>
  <c r="S254" i="30"/>
  <c r="AA255" i="30"/>
  <c r="AI255" i="30"/>
  <c r="AQ255" i="30"/>
  <c r="AY254" i="30"/>
  <c r="AN253" i="30"/>
  <c r="AE254" i="30"/>
  <c r="AE255" i="30"/>
  <c r="AD263" i="30"/>
  <c r="AD264" i="30" s="1"/>
  <c r="I284" i="30"/>
  <c r="I299" i="30" s="1"/>
  <c r="F300" i="30"/>
  <c r="K115" i="30"/>
  <c r="K283" i="30" s="1"/>
  <c r="U231" i="30"/>
  <c r="U229" i="30"/>
  <c r="U232" i="30" s="1"/>
  <c r="U136" i="30" s="1"/>
  <c r="U147" i="30" s="1"/>
  <c r="AC231" i="30"/>
  <c r="AC229" i="30"/>
  <c r="AK253" i="30"/>
  <c r="AK229" i="30"/>
  <c r="AS253" i="30"/>
  <c r="AS229" i="30"/>
  <c r="AS231" i="30"/>
  <c r="BA253" i="30"/>
  <c r="BA229" i="30"/>
  <c r="BI229" i="30"/>
  <c r="BI232" i="30" s="1"/>
  <c r="BI136" i="30" s="1"/>
  <c r="BI147" i="30" s="1"/>
  <c r="BI253" i="30"/>
  <c r="AH241" i="30"/>
  <c r="AH243" i="30"/>
  <c r="AH245" i="30" s="1"/>
  <c r="AH139" i="30" s="1"/>
  <c r="AH150" i="30" s="1"/>
  <c r="AP243" i="30"/>
  <c r="AP245" i="30" s="1"/>
  <c r="AP139" i="30" s="1"/>
  <c r="AP150" i="30" s="1"/>
  <c r="AP241" i="30"/>
  <c r="O263" i="30"/>
  <c r="O264" i="30" s="1"/>
  <c r="O265" i="30"/>
  <c r="W263" i="30"/>
  <c r="W264" i="30" s="1"/>
  <c r="W265" i="30"/>
  <c r="AE263" i="30"/>
  <c r="AE264" i="30" s="1"/>
  <c r="AE265" i="30"/>
  <c r="AM265" i="30"/>
  <c r="AM263" i="30"/>
  <c r="AM264" i="30" s="1"/>
  <c r="AU263" i="30"/>
  <c r="AU264" i="30" s="1"/>
  <c r="AU265" i="30"/>
  <c r="T271" i="30"/>
  <c r="T39" i="30" s="1"/>
  <c r="T27" i="30" s="1"/>
  <c r="T270" i="30"/>
  <c r="AB270" i="30"/>
  <c r="AB271" i="30"/>
  <c r="AB39" i="30" s="1"/>
  <c r="AB27" i="30" s="1"/>
  <c r="AJ271" i="30"/>
  <c r="AJ39" i="30" s="1"/>
  <c r="AJ27" i="30" s="1"/>
  <c r="AJ270" i="30"/>
  <c r="AR270" i="30"/>
  <c r="AR271" i="30"/>
  <c r="AR39" i="30" s="1"/>
  <c r="AR27" i="30" s="1"/>
  <c r="AZ271" i="30"/>
  <c r="AZ39" i="30" s="1"/>
  <c r="AZ27" i="30" s="1"/>
  <c r="AZ270" i="30"/>
  <c r="BH270" i="30"/>
  <c r="BH271" i="30"/>
  <c r="BH39" i="30" s="1"/>
  <c r="BH27" i="30" s="1"/>
  <c r="Q276" i="30"/>
  <c r="Q277" i="30"/>
  <c r="Q43" i="30" s="1"/>
  <c r="Q31" i="30" s="1"/>
  <c r="P133" i="30"/>
  <c r="Y133" i="30"/>
  <c r="AH133" i="30"/>
  <c r="AQ133" i="30"/>
  <c r="AZ133" i="30"/>
  <c r="BI133" i="30"/>
  <c r="T229" i="30"/>
  <c r="AE229" i="30"/>
  <c r="AO229" i="30"/>
  <c r="AZ229" i="30"/>
  <c r="AI230" i="30"/>
  <c r="AS230" i="30"/>
  <c r="Q231" i="30"/>
  <c r="AB231" i="30"/>
  <c r="AP231" i="30"/>
  <c r="V241" i="30"/>
  <c r="AM241" i="30"/>
  <c r="BC241" i="30"/>
  <c r="AC242" i="30"/>
  <c r="AS242" i="30"/>
  <c r="AS244" i="30" s="1"/>
  <c r="AS138" i="30" s="1"/>
  <c r="AS149" i="30" s="1"/>
  <c r="BC243" i="30"/>
  <c r="BC245" i="30" s="1"/>
  <c r="BC139" i="30" s="1"/>
  <c r="BC150" i="30" s="1"/>
  <c r="U258" i="30"/>
  <c r="AC258" i="30"/>
  <c r="AC252" i="30"/>
  <c r="AK258" i="30"/>
  <c r="AK254" i="30"/>
  <c r="AS258" i="30"/>
  <c r="AS252" i="30"/>
  <c r="BA258" i="30"/>
  <c r="BA255" i="30"/>
  <c r="BI258" i="30"/>
  <c r="BI254" i="30"/>
  <c r="BI252" i="30"/>
  <c r="T259" i="30"/>
  <c r="AB259" i="30"/>
  <c r="AB255" i="30"/>
  <c r="AJ255" i="30"/>
  <c r="AJ259" i="30"/>
  <c r="AR259" i="30"/>
  <c r="AZ259" i="30"/>
  <c r="AZ255" i="30"/>
  <c r="BH259" i="30"/>
  <c r="BH255" i="30"/>
  <c r="AW253" i="30"/>
  <c r="AG254" i="30"/>
  <c r="AR255" i="30"/>
  <c r="Y276" i="30"/>
  <c r="Y277" i="30"/>
  <c r="Y43" i="30" s="1"/>
  <c r="Y31" i="30" s="1"/>
  <c r="AG276" i="30"/>
  <c r="AG277" i="30"/>
  <c r="AG43" i="30" s="1"/>
  <c r="AG31" i="30" s="1"/>
  <c r="AO276" i="30"/>
  <c r="AO277" i="30"/>
  <c r="AO43" i="30" s="1"/>
  <c r="AO31" i="30" s="1"/>
  <c r="AW276" i="30"/>
  <c r="AW277" i="30"/>
  <c r="AW43" i="30" s="1"/>
  <c r="AW31" i="30" s="1"/>
  <c r="BE276" i="30"/>
  <c r="BE277" i="30"/>
  <c r="BE43" i="30" s="1"/>
  <c r="BE31" i="30" s="1"/>
  <c r="O258" i="30"/>
  <c r="O254" i="30"/>
  <c r="O252" i="30"/>
  <c r="W258" i="30"/>
  <c r="W254" i="30"/>
  <c r="W252" i="30"/>
  <c r="AE258" i="30"/>
  <c r="AE252" i="30"/>
  <c r="AM258" i="30"/>
  <c r="AM252" i="30"/>
  <c r="AU258" i="30"/>
  <c r="AU254" i="30"/>
  <c r="AU252" i="30"/>
  <c r="BC258" i="30"/>
  <c r="BC252" i="30"/>
  <c r="N255" i="30"/>
  <c r="V259" i="30"/>
  <c r="V255" i="30"/>
  <c r="AD259" i="30"/>
  <c r="AD255" i="30"/>
  <c r="AL259" i="30"/>
  <c r="AL255" i="30"/>
  <c r="AT255" i="30"/>
  <c r="AT259" i="30"/>
  <c r="BB259" i="30"/>
  <c r="BB255" i="30"/>
  <c r="BJ259" i="30"/>
  <c r="BJ255" i="30"/>
  <c r="Z254" i="30"/>
  <c r="AH254" i="30"/>
  <c r="V254" i="30"/>
  <c r="BC254" i="30"/>
  <c r="AC278" i="30"/>
  <c r="AC267" i="30"/>
  <c r="AS278" i="30"/>
  <c r="AS267" i="30"/>
  <c r="BI278" i="30"/>
  <c r="BI267" i="30"/>
  <c r="Q258" i="30"/>
  <c r="Y258" i="30"/>
  <c r="AG258" i="30"/>
  <c r="AW258" i="30"/>
  <c r="BE258" i="30"/>
  <c r="P255" i="30"/>
  <c r="P259" i="30"/>
  <c r="X255" i="30"/>
  <c r="AF259" i="30"/>
  <c r="AF255" i="30"/>
  <c r="AN259" i="30"/>
  <c r="AN255" i="30"/>
  <c r="AV255" i="30"/>
  <c r="AV259" i="30"/>
  <c r="BD255" i="30"/>
  <c r="AT254" i="30"/>
  <c r="U255" i="30"/>
  <c r="Z258" i="30"/>
  <c r="BJ258" i="30"/>
  <c r="S259" i="30"/>
  <c r="BA267" i="30"/>
  <c r="U247" i="30"/>
  <c r="AC247" i="30"/>
  <c r="AK247" i="30"/>
  <c r="AS247" i="30"/>
  <c r="BA247" i="30"/>
  <c r="BI247" i="30"/>
  <c r="AP254" i="30"/>
  <c r="AX254" i="30"/>
  <c r="BF254" i="30"/>
  <c r="Q259" i="30"/>
  <c r="Y259" i="30"/>
  <c r="AG259" i="30"/>
  <c r="AO259" i="30"/>
  <c r="AW259" i="30"/>
  <c r="BE259" i="30"/>
  <c r="N254" i="30"/>
  <c r="Y254" i="30"/>
  <c r="AW255" i="30"/>
  <c r="AD258" i="30"/>
  <c r="AT258" i="30"/>
  <c r="AK259" i="30"/>
  <c r="U267" i="30"/>
  <c r="O278" i="30"/>
  <c r="O267" i="30"/>
  <c r="W278" i="30"/>
  <c r="W267" i="30"/>
  <c r="AU278" i="30"/>
  <c r="AU267" i="30"/>
  <c r="BK282" i="30" a="1"/>
  <c r="BK282" i="30" s="1"/>
  <c r="AA258" i="30"/>
  <c r="AI258" i="30"/>
  <c r="AQ258" i="30"/>
  <c r="BG258" i="30"/>
  <c r="R259" i="30"/>
  <c r="R255" i="30"/>
  <c r="Z259" i="30"/>
  <c r="Z255" i="30"/>
  <c r="AH259" i="30"/>
  <c r="AH255" i="30"/>
  <c r="AP259" i="30"/>
  <c r="AP255" i="30"/>
  <c r="AX259" i="30"/>
  <c r="AX255" i="30"/>
  <c r="BF259" i="30"/>
  <c r="BF255" i="30"/>
  <c r="Q252" i="30"/>
  <c r="Y252" i="30"/>
  <c r="AG252" i="30"/>
  <c r="AO252" i="30"/>
  <c r="AW252" i="30"/>
  <c r="BE252" i="30"/>
  <c r="AW254" i="30"/>
  <c r="Y255" i="30"/>
  <c r="AY255" i="30"/>
  <c r="BD259" i="30"/>
  <c r="S272" i="30"/>
  <c r="S283" i="30"/>
  <c r="AA283" i="30"/>
  <c r="AA272" i="30"/>
  <c r="AI283" i="30"/>
  <c r="AI272" i="30"/>
  <c r="AQ283" i="30"/>
  <c r="AQ272" i="30"/>
  <c r="AY272" i="30"/>
  <c r="AY283" i="30"/>
  <c r="BG283" i="30"/>
  <c r="BG298" i="30" s="1"/>
  <c r="BG272" i="30"/>
  <c r="T258" i="30"/>
  <c r="T254" i="30"/>
  <c r="AB258" i="30"/>
  <c r="AB254" i="30"/>
  <c r="AJ258" i="30"/>
  <c r="AJ254" i="30"/>
  <c r="AR258" i="30"/>
  <c r="AR254" i="30"/>
  <c r="AZ258" i="30"/>
  <c r="AZ254" i="30"/>
  <c r="BH258" i="30"/>
  <c r="BH254" i="30"/>
  <c r="AA254" i="30"/>
  <c r="AL254" i="30"/>
  <c r="AQ259" i="30"/>
  <c r="AK267" i="30"/>
  <c r="T252" i="30"/>
  <c r="AB252" i="30"/>
  <c r="AJ252" i="30"/>
  <c r="AR252" i="30"/>
  <c r="AZ252" i="30"/>
  <c r="BH252" i="30"/>
  <c r="BB254" i="30"/>
  <c r="AC255" i="30"/>
  <c r="AC259" i="30"/>
  <c r="S278" i="30"/>
  <c r="S267" i="30"/>
  <c r="AA278" i="30"/>
  <c r="AA267" i="30"/>
  <c r="AI278" i="30"/>
  <c r="AI267" i="30"/>
  <c r="AQ278" i="30"/>
  <c r="AQ267" i="30"/>
  <c r="AY278" i="30"/>
  <c r="AY267" i="30"/>
  <c r="BG278" i="30"/>
  <c r="BG267" i="30"/>
  <c r="T272" i="30"/>
  <c r="T283" i="30"/>
  <c r="AB272" i="30"/>
  <c r="AB283" i="30"/>
  <c r="AJ272" i="30"/>
  <c r="AJ283" i="30"/>
  <c r="AR272" i="30"/>
  <c r="AZ272" i="30"/>
  <c r="AZ283" i="30"/>
  <c r="BH272" i="30"/>
  <c r="BH283" i="30"/>
  <c r="BH298" i="30" s="1"/>
  <c r="U283" i="30"/>
  <c r="AC283" i="30"/>
  <c r="AK283" i="30"/>
  <c r="BA283" i="30"/>
  <c r="BI283" i="30"/>
  <c r="BI298" i="30" s="1"/>
  <c r="O283" i="30"/>
  <c r="W283" i="30"/>
  <c r="AE283" i="30"/>
  <c r="AM283" i="30"/>
  <c r="AU283" i="30"/>
  <c r="BC283" i="30"/>
  <c r="BC298" i="30" s="1"/>
  <c r="AF283" i="30"/>
  <c r="AN283" i="30"/>
  <c r="Q283" i="30"/>
  <c r="Y283" i="30"/>
  <c r="AW283" i="30"/>
  <c r="BE283" i="30"/>
  <c r="BE298" i="30"/>
  <c r="BJ298" i="30"/>
  <c r="X283" i="30"/>
  <c r="AS283" i="30"/>
  <c r="BD283" i="30"/>
  <c r="BD298" i="30" s="1"/>
  <c r="AV283" i="30"/>
  <c r="AD245" i="30" l="1"/>
  <c r="AD139" i="30" s="1"/>
  <c r="AD150" i="30" s="1"/>
  <c r="AM34" i="30"/>
  <c r="L34" i="30"/>
  <c r="L289" i="30"/>
  <c r="N34" i="30"/>
  <c r="Y34" i="30"/>
  <c r="R2" i="3"/>
  <c r="N53" i="32"/>
  <c r="Z34" i="30"/>
  <c r="I259" i="30"/>
  <c r="H259" i="30" s="1"/>
  <c r="G259" i="30" s="1"/>
  <c r="F259" i="30" s="1"/>
  <c r="AT34" i="30"/>
  <c r="BJ34" i="30"/>
  <c r="AE285" i="30"/>
  <c r="AE288" i="30" s="1"/>
  <c r="M227" i="30"/>
  <c r="M176" i="30" s="1"/>
  <c r="M177" i="30" s="1"/>
  <c r="I34" i="30"/>
  <c r="L227" i="30"/>
  <c r="M183" i="30"/>
  <c r="M169" i="30" s="1"/>
  <c r="K34" i="30"/>
  <c r="M34" i="30"/>
  <c r="G34" i="30"/>
  <c r="AE34" i="30"/>
  <c r="H34" i="30"/>
  <c r="Q34" i="30"/>
  <c r="AD34" i="30"/>
  <c r="M211" i="30"/>
  <c r="M219" i="30"/>
  <c r="S198" i="30"/>
  <c r="S206" i="30" s="1"/>
  <c r="S207" i="30" s="1"/>
  <c r="S220" i="30"/>
  <c r="S213" i="30"/>
  <c r="AH198" i="30"/>
  <c r="AH206" i="30" s="1"/>
  <c r="AH207" i="30" s="1"/>
  <c r="AH213" i="30"/>
  <c r="AH220" i="30"/>
  <c r="AD198" i="30"/>
  <c r="AD206" i="30" s="1"/>
  <c r="AD207" i="30" s="1"/>
  <c r="AD220" i="30"/>
  <c r="AD213" i="30"/>
  <c r="BA220" i="30"/>
  <c r="BA213" i="30"/>
  <c r="BH220" i="30"/>
  <c r="BH213" i="30"/>
  <c r="BB198" i="30"/>
  <c r="BB206" i="30" s="1"/>
  <c r="BB207" i="30" s="1"/>
  <c r="BB220" i="30"/>
  <c r="BB213" i="30"/>
  <c r="BD198" i="30"/>
  <c r="BD206" i="30" s="1"/>
  <c r="BD207" i="30" s="1"/>
  <c r="BD213" i="30"/>
  <c r="BD220" i="30"/>
  <c r="N198" i="30"/>
  <c r="N206" i="30" s="1"/>
  <c r="N207" i="30" s="1"/>
  <c r="N220" i="30"/>
  <c r="N213" i="30"/>
  <c r="U198" i="30"/>
  <c r="U206" i="30" s="1"/>
  <c r="U207" i="30" s="1"/>
  <c r="U220" i="30"/>
  <c r="U213" i="30"/>
  <c r="AB198" i="30"/>
  <c r="AB206" i="30" s="1"/>
  <c r="AB207" i="30" s="1"/>
  <c r="AB220" i="30"/>
  <c r="AB213" i="30"/>
  <c r="AU198" i="30"/>
  <c r="AU206" i="30" s="1"/>
  <c r="AU207" i="30" s="1"/>
  <c r="AU213" i="30"/>
  <c r="AU220" i="30"/>
  <c r="AQ220" i="30"/>
  <c r="AQ213" i="30"/>
  <c r="BG198" i="30"/>
  <c r="BG206" i="30" s="1"/>
  <c r="BG207" i="30" s="1"/>
  <c r="BG213" i="30"/>
  <c r="BG220" i="30"/>
  <c r="BC198" i="30"/>
  <c r="BC206" i="30" s="1"/>
  <c r="BC207" i="30" s="1"/>
  <c r="BC213" i="30"/>
  <c r="BC220" i="30"/>
  <c r="O198" i="30"/>
  <c r="O206" i="30" s="1"/>
  <c r="O207" i="30" s="1"/>
  <c r="O213" i="30"/>
  <c r="O220" i="30"/>
  <c r="AO220" i="30"/>
  <c r="AO213" i="30"/>
  <c r="AZ198" i="30"/>
  <c r="AZ206" i="30" s="1"/>
  <c r="AZ207" i="30" s="1"/>
  <c r="AZ220" i="30"/>
  <c r="AZ213" i="30"/>
  <c r="T198" i="30"/>
  <c r="T206" i="30" s="1"/>
  <c r="T207" i="30" s="1"/>
  <c r="T213" i="30"/>
  <c r="T220" i="30"/>
  <c r="AN220" i="30"/>
  <c r="AN213" i="30"/>
  <c r="R220" i="30"/>
  <c r="R213" i="30"/>
  <c r="P198" i="30"/>
  <c r="P206" i="30" s="1"/>
  <c r="P207" i="30" s="1"/>
  <c r="P220" i="30"/>
  <c r="P213" i="30"/>
  <c r="AS220" i="30"/>
  <c r="AS213" i="30"/>
  <c r="BF220" i="30"/>
  <c r="BF213" i="30"/>
  <c r="BE198" i="30"/>
  <c r="BE206" i="30" s="1"/>
  <c r="BE207" i="30" s="1"/>
  <c r="BE220" i="30"/>
  <c r="BE213" i="30"/>
  <c r="AI213" i="30"/>
  <c r="AI220" i="30"/>
  <c r="AM213" i="30"/>
  <c r="AM220" i="30"/>
  <c r="AV198" i="30"/>
  <c r="AV206" i="30" s="1"/>
  <c r="AV207" i="30" s="1"/>
  <c r="AV220" i="30"/>
  <c r="AV213" i="30"/>
  <c r="AV221" i="30" s="1"/>
  <c r="AV222" i="30" s="1"/>
  <c r="AE213" i="30"/>
  <c r="AE220" i="30"/>
  <c r="Z220" i="30"/>
  <c r="Z213" i="30"/>
  <c r="AK220" i="30"/>
  <c r="AK213" i="30"/>
  <c r="Y220" i="30"/>
  <c r="Y213" i="30"/>
  <c r="Y221" i="30" s="1"/>
  <c r="Y222" i="30" s="1"/>
  <c r="AY213" i="30"/>
  <c r="AY220" i="30"/>
  <c r="AT220" i="30"/>
  <c r="AT213" i="30"/>
  <c r="AJ198" i="30"/>
  <c r="AJ206" i="30" s="1"/>
  <c r="AJ207" i="30" s="1"/>
  <c r="AJ220" i="30"/>
  <c r="AJ213" i="30"/>
  <c r="AL198" i="30"/>
  <c r="AL206" i="30" s="1"/>
  <c r="AL207" i="30" s="1"/>
  <c r="AL220" i="30"/>
  <c r="AL213" i="30"/>
  <c r="AW220" i="30"/>
  <c r="AW213" i="30"/>
  <c r="BJ198" i="30"/>
  <c r="BJ206" i="30" s="1"/>
  <c r="BJ207" i="30" s="1"/>
  <c r="BJ220" i="30"/>
  <c r="BJ213" i="30"/>
  <c r="V198" i="30"/>
  <c r="V206" i="30" s="1"/>
  <c r="V207" i="30" s="1"/>
  <c r="V220" i="30"/>
  <c r="V213" i="30"/>
  <c r="AP198" i="30"/>
  <c r="AP206" i="30" s="1"/>
  <c r="AP207" i="30" s="1"/>
  <c r="AP220" i="30"/>
  <c r="AP213" i="30"/>
  <c r="Q198" i="30"/>
  <c r="Q206" i="30" s="1"/>
  <c r="Q207" i="30" s="1"/>
  <c r="Q220" i="30"/>
  <c r="Q213" i="30"/>
  <c r="Q221" i="30" s="1"/>
  <c r="Q222" i="30" s="1"/>
  <c r="AX198" i="30"/>
  <c r="AX206" i="30" s="1"/>
  <c r="AX207" i="30" s="1"/>
  <c r="AX220" i="30"/>
  <c r="AX213" i="30"/>
  <c r="AR198" i="30"/>
  <c r="AR206" i="30" s="1"/>
  <c r="AR207" i="30" s="1"/>
  <c r="AR220" i="30"/>
  <c r="AR213" i="30"/>
  <c r="AA220" i="30"/>
  <c r="AA213" i="30"/>
  <c r="AA221" i="30" s="1"/>
  <c r="AA222" i="30" s="1"/>
  <c r="AG198" i="30"/>
  <c r="AG206" i="30" s="1"/>
  <c r="AG207" i="30" s="1"/>
  <c r="AG213" i="30"/>
  <c r="AG220" i="30"/>
  <c r="W198" i="30"/>
  <c r="W206" i="30" s="1"/>
  <c r="W207" i="30" s="1"/>
  <c r="W213" i="30"/>
  <c r="W220" i="30"/>
  <c r="BI220" i="30"/>
  <c r="BI213" i="30"/>
  <c r="BI221" i="30" s="1"/>
  <c r="BI222" i="30" s="1"/>
  <c r="AC220" i="30"/>
  <c r="AC213" i="30"/>
  <c r="V256" i="30"/>
  <c r="V140" i="30" s="1"/>
  <c r="V151" i="30" s="1"/>
  <c r="V75" i="32" s="1"/>
  <c r="BI198" i="30"/>
  <c r="BI206" i="30" s="1"/>
  <c r="BI207" i="30" s="1"/>
  <c r="AC198" i="30"/>
  <c r="AC206" i="30" s="1"/>
  <c r="AC207" i="30" s="1"/>
  <c r="AF232" i="30"/>
  <c r="AF136" i="30" s="1"/>
  <c r="AF147" i="30" s="1"/>
  <c r="AQ198" i="30"/>
  <c r="AQ206" i="30" s="1"/>
  <c r="AQ207" i="30" s="1"/>
  <c r="BA198" i="30"/>
  <c r="BA206" i="30" s="1"/>
  <c r="BA207" i="30" s="1"/>
  <c r="AY244" i="30"/>
  <c r="AY138" i="30" s="1"/>
  <c r="AY149" i="30" s="1"/>
  <c r="BH198" i="30"/>
  <c r="BH206" i="30" s="1"/>
  <c r="BH207" i="30" s="1"/>
  <c r="AW198" i="30"/>
  <c r="AW206" i="30" s="1"/>
  <c r="AW207" i="30" s="1"/>
  <c r="AS198" i="30"/>
  <c r="AS206" i="30" s="1"/>
  <c r="AS207" i="30" s="1"/>
  <c r="BF198" i="30"/>
  <c r="BF206" i="30" s="1"/>
  <c r="BF207" i="30" s="1"/>
  <c r="AI198" i="30"/>
  <c r="AI206" i="30" s="1"/>
  <c r="AI207" i="30" s="1"/>
  <c r="AA198" i="30"/>
  <c r="AA206" i="30" s="1"/>
  <c r="AA207" i="30" s="1"/>
  <c r="AO198" i="30"/>
  <c r="AO206" i="30" s="1"/>
  <c r="AO207" i="30" s="1"/>
  <c r="AN198" i="30"/>
  <c r="AN206" i="30" s="1"/>
  <c r="AN207" i="30" s="1"/>
  <c r="R198" i="30"/>
  <c r="R206" i="30" s="1"/>
  <c r="R207" i="30" s="1"/>
  <c r="AM198" i="30"/>
  <c r="AM206" i="30" s="1"/>
  <c r="AM207" i="30" s="1"/>
  <c r="AE198" i="30"/>
  <c r="AE206" i="30" s="1"/>
  <c r="AE207" i="30" s="1"/>
  <c r="Z198" i="30"/>
  <c r="Z206" i="30" s="1"/>
  <c r="Z207" i="30" s="1"/>
  <c r="AK198" i="30"/>
  <c r="AK206" i="30" s="1"/>
  <c r="AK207" i="30" s="1"/>
  <c r="Y198" i="30"/>
  <c r="Y206" i="30" s="1"/>
  <c r="Y207" i="30" s="1"/>
  <c r="AY198" i="30"/>
  <c r="AY206" i="30" s="1"/>
  <c r="AY207" i="30" s="1"/>
  <c r="AT198" i="30"/>
  <c r="AT206" i="30" s="1"/>
  <c r="AT207" i="30" s="1"/>
  <c r="AY256" i="30"/>
  <c r="AY140" i="30" s="1"/>
  <c r="AY151" i="30" s="1"/>
  <c r="AY75" i="32" s="1"/>
  <c r="AV232" i="30"/>
  <c r="AV136" i="30" s="1"/>
  <c r="AV147" i="30" s="1"/>
  <c r="AX257" i="30"/>
  <c r="AX141" i="30" s="1"/>
  <c r="AX152" i="30" s="1"/>
  <c r="Q257" i="30"/>
  <c r="Q141" i="30" s="1"/>
  <c r="Q152" i="30" s="1"/>
  <c r="BD284" i="30"/>
  <c r="BD287" i="30" s="1"/>
  <c r="AA137" i="30"/>
  <c r="AA148" i="30" s="1"/>
  <c r="AN257" i="30"/>
  <c r="AN141" i="30" s="1"/>
  <c r="AN152" i="30" s="1"/>
  <c r="BH137" i="30"/>
  <c r="BH148" i="30" s="1"/>
  <c r="AN137" i="30"/>
  <c r="AN148" i="30" s="1"/>
  <c r="BD137" i="30"/>
  <c r="BD148" i="30" s="1"/>
  <c r="P137" i="30"/>
  <c r="P148" i="30" s="1"/>
  <c r="X137" i="30"/>
  <c r="X148" i="30" s="1"/>
  <c r="AE137" i="30"/>
  <c r="AE148" i="30" s="1"/>
  <c r="AM137" i="30"/>
  <c r="AM148" i="30" s="1"/>
  <c r="BF137" i="30"/>
  <c r="BF148" i="30" s="1"/>
  <c r="AU257" i="30"/>
  <c r="AU141" i="30" s="1"/>
  <c r="AU152" i="30" s="1"/>
  <c r="BH285" i="30"/>
  <c r="BH300" i="30" s="1"/>
  <c r="AQ244" i="30"/>
  <c r="AQ138" i="30" s="1"/>
  <c r="AQ149" i="30" s="1"/>
  <c r="AZ244" i="30"/>
  <c r="AZ138" i="30" s="1"/>
  <c r="AZ149" i="30" s="1"/>
  <c r="P244" i="30"/>
  <c r="P138" i="30" s="1"/>
  <c r="P149" i="30" s="1"/>
  <c r="D289" i="30"/>
  <c r="S256" i="30"/>
  <c r="S140" i="30" s="1"/>
  <c r="S151" i="30" s="1"/>
  <c r="S75" i="32" s="1"/>
  <c r="AN232" i="30"/>
  <c r="AN136" i="30" s="1"/>
  <c r="AN147" i="30" s="1"/>
  <c r="R257" i="30"/>
  <c r="R141" i="30" s="1"/>
  <c r="R152" i="30" s="1"/>
  <c r="AV244" i="30"/>
  <c r="AV138" i="30" s="1"/>
  <c r="AV149" i="30" s="1"/>
  <c r="N256" i="30"/>
  <c r="N140" i="30" s="1"/>
  <c r="N151" i="30" s="1"/>
  <c r="N75" i="32" s="1"/>
  <c r="AF245" i="30"/>
  <c r="AF139" i="30" s="1"/>
  <c r="AF150" i="30" s="1"/>
  <c r="AP256" i="30"/>
  <c r="AP140" i="30" s="1"/>
  <c r="AP151" i="30" s="1"/>
  <c r="AP75" i="32" s="1"/>
  <c r="BK229" i="30"/>
  <c r="AO257" i="30"/>
  <c r="AO141" i="30" s="1"/>
  <c r="AO152" i="30" s="1"/>
  <c r="X245" i="30"/>
  <c r="X139" i="30" s="1"/>
  <c r="X150" i="30" s="1"/>
  <c r="AZ257" i="30"/>
  <c r="AZ141" i="30" s="1"/>
  <c r="AZ152" i="30" s="1"/>
  <c r="N257" i="30"/>
  <c r="N141" i="30" s="1"/>
  <c r="N152" i="30" s="1"/>
  <c r="S244" i="30"/>
  <c r="S138" i="30" s="1"/>
  <c r="S149" i="30" s="1"/>
  <c r="AB256" i="30"/>
  <c r="AB140" i="30" s="1"/>
  <c r="AB151" i="30" s="1"/>
  <c r="AB75" i="32" s="1"/>
  <c r="AW257" i="30"/>
  <c r="AW141" i="30" s="1"/>
  <c r="AW152" i="30" s="1"/>
  <c r="N233" i="30"/>
  <c r="E289" i="30"/>
  <c r="AG41" i="30"/>
  <c r="AG29" i="30" s="1"/>
  <c r="AG137" i="30"/>
  <c r="AG148" i="30" s="1"/>
  <c r="X284" i="30"/>
  <c r="X287" i="30" s="1"/>
  <c r="AJ244" i="30"/>
  <c r="AJ138" i="30" s="1"/>
  <c r="AJ149" i="30" s="1"/>
  <c r="BC256" i="30"/>
  <c r="BC140" i="30" s="1"/>
  <c r="BC151" i="30" s="1"/>
  <c r="BC75" i="32" s="1"/>
  <c r="BI256" i="30"/>
  <c r="BI140" i="30" s="1"/>
  <c r="BI151" i="30" s="1"/>
  <c r="BI75" i="32" s="1"/>
  <c r="X256" i="30"/>
  <c r="X140" i="30" s="1"/>
  <c r="X151" i="30" s="1"/>
  <c r="X75" i="32" s="1"/>
  <c r="U257" i="30"/>
  <c r="U141" i="30" s="1"/>
  <c r="U152" i="30" s="1"/>
  <c r="BG256" i="30"/>
  <c r="BG140" i="30" s="1"/>
  <c r="BG151" i="30" s="1"/>
  <c r="BG75" i="32" s="1"/>
  <c r="BH256" i="30"/>
  <c r="BH140" i="30" s="1"/>
  <c r="BH151" i="30" s="1"/>
  <c r="BH75" i="32" s="1"/>
  <c r="X257" i="30"/>
  <c r="X141" i="30" s="1"/>
  <c r="X152" i="30" s="1"/>
  <c r="Y256" i="30"/>
  <c r="Y140" i="30" s="1"/>
  <c r="Y151" i="30" s="1"/>
  <c r="Y75" i="32" s="1"/>
  <c r="Z256" i="30"/>
  <c r="Z140" i="30" s="1"/>
  <c r="Z151" i="30" s="1"/>
  <c r="Z75" i="32" s="1"/>
  <c r="AJ257" i="30"/>
  <c r="AJ141" i="30" s="1"/>
  <c r="AJ152" i="30" s="1"/>
  <c r="N285" i="30"/>
  <c r="N288" i="30" s="1"/>
  <c r="Q256" i="30"/>
  <c r="Q140" i="30" s="1"/>
  <c r="Q151" i="30" s="1"/>
  <c r="Q75" i="32" s="1"/>
  <c r="R245" i="30"/>
  <c r="R139" i="30" s="1"/>
  <c r="R150" i="30" s="1"/>
  <c r="X232" i="30"/>
  <c r="X136" i="30" s="1"/>
  <c r="X147" i="30" s="1"/>
  <c r="AD256" i="30"/>
  <c r="AD140" i="30" s="1"/>
  <c r="AD151" i="30" s="1"/>
  <c r="AD75" i="32" s="1"/>
  <c r="AF257" i="30"/>
  <c r="AF141" i="30" s="1"/>
  <c r="AF152" i="30" s="1"/>
  <c r="U256" i="30"/>
  <c r="U140" i="30" s="1"/>
  <c r="U151" i="30" s="1"/>
  <c r="U75" i="32" s="1"/>
  <c r="K289" i="30"/>
  <c r="BE245" i="30"/>
  <c r="BE139" i="30" s="1"/>
  <c r="BE150" i="30" s="1"/>
  <c r="J289" i="30"/>
  <c r="AF284" i="30"/>
  <c r="AF287" i="30" s="1"/>
  <c r="AM256" i="30"/>
  <c r="AM140" i="30" s="1"/>
  <c r="AM151" i="30" s="1"/>
  <c r="AM75" i="32" s="1"/>
  <c r="AS257" i="30"/>
  <c r="AS141" i="30" s="1"/>
  <c r="AS152" i="30" s="1"/>
  <c r="AS256" i="30"/>
  <c r="AS140" i="30" s="1"/>
  <c r="AS151" i="30" s="1"/>
  <c r="AS75" i="32" s="1"/>
  <c r="BJ244" i="30"/>
  <c r="BJ138" i="30" s="1"/>
  <c r="BJ149" i="30" s="1"/>
  <c r="Q245" i="30"/>
  <c r="Q139" i="30" s="1"/>
  <c r="Q150" i="30" s="1"/>
  <c r="AA257" i="30"/>
  <c r="AA141" i="30" s="1"/>
  <c r="AA152" i="30" s="1"/>
  <c r="Z257" i="30"/>
  <c r="Z141" i="30" s="1"/>
  <c r="Z152" i="30" s="1"/>
  <c r="BH257" i="30"/>
  <c r="BH141" i="30" s="1"/>
  <c r="BH152" i="30" s="1"/>
  <c r="M289" i="30"/>
  <c r="AI245" i="30"/>
  <c r="AI139" i="30" s="1"/>
  <c r="AI150" i="30" s="1"/>
  <c r="O256" i="30"/>
  <c r="O140" i="30" s="1"/>
  <c r="O151" i="30" s="1"/>
  <c r="O75" i="32" s="1"/>
  <c r="AK256" i="30"/>
  <c r="AK140" i="30" s="1"/>
  <c r="AK151" i="30" s="1"/>
  <c r="AK75" i="32" s="1"/>
  <c r="P256" i="30"/>
  <c r="P140" i="30" s="1"/>
  <c r="P151" i="30" s="1"/>
  <c r="P75" i="32" s="1"/>
  <c r="BH244" i="30"/>
  <c r="BH138" i="30" s="1"/>
  <c r="BH149" i="30" s="1"/>
  <c r="BK253" i="30"/>
  <c r="AO256" i="30"/>
  <c r="AO140" i="30" s="1"/>
  <c r="AO151" i="30" s="1"/>
  <c r="AO75" i="32" s="1"/>
  <c r="BA257" i="30"/>
  <c r="BA141" i="30" s="1"/>
  <c r="BA152" i="30" s="1"/>
  <c r="AL257" i="30"/>
  <c r="AL141" i="30" s="1"/>
  <c r="AL152" i="30" s="1"/>
  <c r="BB257" i="30"/>
  <c r="BB141" i="30" s="1"/>
  <c r="BB152" i="30" s="1"/>
  <c r="V257" i="30"/>
  <c r="V141" i="30" s="1"/>
  <c r="V152" i="30" s="1"/>
  <c r="S257" i="30"/>
  <c r="S141" i="30" s="1"/>
  <c r="S152" i="30" s="1"/>
  <c r="BE257" i="30"/>
  <c r="BE141" i="30" s="1"/>
  <c r="BE152" i="30" s="1"/>
  <c r="AQ257" i="30"/>
  <c r="AQ141" i="30" s="1"/>
  <c r="AQ152" i="30" s="1"/>
  <c r="AH257" i="30"/>
  <c r="AH141" i="30" s="1"/>
  <c r="AH152" i="30" s="1"/>
  <c r="AX40" i="30"/>
  <c r="AX28" i="30" s="1"/>
  <c r="AM257" i="30"/>
  <c r="AM141" i="30" s="1"/>
  <c r="AM152" i="30" s="1"/>
  <c r="U245" i="30"/>
  <c r="U139" i="30" s="1"/>
  <c r="U150" i="30" s="1"/>
  <c r="AB257" i="30"/>
  <c r="AB141" i="30" s="1"/>
  <c r="AB152" i="30" s="1"/>
  <c r="BB256" i="30"/>
  <c r="BB140" i="30" s="1"/>
  <c r="BB151" i="30" s="1"/>
  <c r="BB75" i="32" s="1"/>
  <c r="AC256" i="30"/>
  <c r="AC140" i="30" s="1"/>
  <c r="AC151" i="30" s="1"/>
  <c r="AC75" i="32" s="1"/>
  <c r="AE257" i="30"/>
  <c r="AE141" i="30" s="1"/>
  <c r="AE152" i="30" s="1"/>
  <c r="AI256" i="30"/>
  <c r="AI140" i="30" s="1"/>
  <c r="AI151" i="30" s="1"/>
  <c r="AI75" i="32" s="1"/>
  <c r="BI257" i="30"/>
  <c r="BI141" i="30" s="1"/>
  <c r="BI152" i="30" s="1"/>
  <c r="AQ256" i="30"/>
  <c r="AQ140" i="30" s="1"/>
  <c r="AQ151" i="30" s="1"/>
  <c r="AQ75" i="32" s="1"/>
  <c r="BJ257" i="30"/>
  <c r="BJ141" i="30" s="1"/>
  <c r="BJ152" i="30" s="1"/>
  <c r="AP257" i="30"/>
  <c r="AP141" i="30" s="1"/>
  <c r="AP152" i="30" s="1"/>
  <c r="BF257" i="30"/>
  <c r="BF141" i="30" s="1"/>
  <c r="BF152" i="30" s="1"/>
  <c r="AE256" i="30"/>
  <c r="AE140" i="30" s="1"/>
  <c r="AE151" i="30" s="1"/>
  <c r="AE75" i="32" s="1"/>
  <c r="BF41" i="30"/>
  <c r="BF29" i="30" s="1"/>
  <c r="AR257" i="30"/>
  <c r="AR141" i="30" s="1"/>
  <c r="AR152" i="30" s="1"/>
  <c r="AW244" i="30"/>
  <c r="AN245" i="30"/>
  <c r="BI244" i="30"/>
  <c r="BI138" i="30" s="1"/>
  <c r="BI149" i="30" s="1"/>
  <c r="BG257" i="30"/>
  <c r="BG141" i="30" s="1"/>
  <c r="BG152" i="30" s="1"/>
  <c r="AA244" i="30"/>
  <c r="AA138" i="30" s="1"/>
  <c r="AA149" i="30" s="1"/>
  <c r="T257" i="30"/>
  <c r="T141" i="30" s="1"/>
  <c r="T152" i="30" s="1"/>
  <c r="G289" i="30"/>
  <c r="AG257" i="30"/>
  <c r="AG141" i="30" s="1"/>
  <c r="AG152" i="30" s="1"/>
  <c r="AR244" i="30"/>
  <c r="AR138" i="30" s="1"/>
  <c r="AR149" i="30" s="1"/>
  <c r="AL256" i="30"/>
  <c r="AL140" i="30" s="1"/>
  <c r="AL151" i="30" s="1"/>
  <c r="AL75" i="32" s="1"/>
  <c r="W256" i="30"/>
  <c r="W140" i="30" s="1"/>
  <c r="W151" i="30" s="1"/>
  <c r="W75" i="32" s="1"/>
  <c r="AG256" i="30"/>
  <c r="AG140" i="30" s="1"/>
  <c r="AG151" i="30" s="1"/>
  <c r="AG75" i="32" s="1"/>
  <c r="BD285" i="30"/>
  <c r="BD300" i="30" s="1"/>
  <c r="H289" i="30"/>
  <c r="BE256" i="30"/>
  <c r="BE140" i="30" s="1"/>
  <c r="BE151" i="30" s="1"/>
  <c r="BE75" i="32" s="1"/>
  <c r="AL245" i="30"/>
  <c r="AL139" i="30" s="1"/>
  <c r="AL150" i="30" s="1"/>
  <c r="O257" i="30"/>
  <c r="O141" i="30" s="1"/>
  <c r="O152" i="30" s="1"/>
  <c r="AK285" i="30"/>
  <c r="AK300" i="30" s="1"/>
  <c r="P285" i="30"/>
  <c r="P286" i="30" s="1"/>
  <c r="P289" i="30" s="1"/>
  <c r="AF233" i="30"/>
  <c r="AT256" i="30"/>
  <c r="AT140" i="30" s="1"/>
  <c r="AT151" i="30" s="1"/>
  <c r="AT75" i="32" s="1"/>
  <c r="AT257" i="30"/>
  <c r="AT141" i="30" s="1"/>
  <c r="AT152" i="30" s="1"/>
  <c r="AM244" i="30"/>
  <c r="AM138" i="30" s="1"/>
  <c r="AM149" i="30" s="1"/>
  <c r="T256" i="30"/>
  <c r="T140" i="30" s="1"/>
  <c r="T151" i="30" s="1"/>
  <c r="T75" i="32" s="1"/>
  <c r="Q244" i="30"/>
  <c r="Q138" i="30" s="1"/>
  <c r="Q149" i="30" s="1"/>
  <c r="AZ245" i="30"/>
  <c r="AZ139" i="30" s="1"/>
  <c r="AZ150" i="30" s="1"/>
  <c r="BJ256" i="30"/>
  <c r="BJ140" i="30" s="1"/>
  <c r="BJ151" i="30" s="1"/>
  <c r="BJ75" i="32" s="1"/>
  <c r="AR256" i="30"/>
  <c r="AR140" i="30" s="1"/>
  <c r="AR151" i="30" s="1"/>
  <c r="AR75" i="32" s="1"/>
  <c r="O40" i="30"/>
  <c r="O28" i="30" s="1"/>
  <c r="AC257" i="30"/>
  <c r="AC141" i="30" s="1"/>
  <c r="AC152" i="30" s="1"/>
  <c r="AY257" i="30"/>
  <c r="AY141" i="30" s="1"/>
  <c r="AY152" i="30" s="1"/>
  <c r="BD257" i="30"/>
  <c r="BD141" i="30" s="1"/>
  <c r="BD152" i="30" s="1"/>
  <c r="AC244" i="30"/>
  <c r="AC138" i="30" s="1"/>
  <c r="AC149" i="30" s="1"/>
  <c r="W245" i="30"/>
  <c r="W139" i="30" s="1"/>
  <c r="W150" i="30" s="1"/>
  <c r="AN244" i="30"/>
  <c r="AN138" i="30" s="1"/>
  <c r="AN149" i="30" s="1"/>
  <c r="AT244" i="30"/>
  <c r="AT138" i="30" s="1"/>
  <c r="AT149" i="30" s="1"/>
  <c r="AM41" i="30"/>
  <c r="AM29" i="30" s="1"/>
  <c r="AA285" i="30"/>
  <c r="AA288" i="30" s="1"/>
  <c r="AH256" i="30"/>
  <c r="AH140" i="30" s="1"/>
  <c r="AH151" i="30" s="1"/>
  <c r="AH75" i="32" s="1"/>
  <c r="BE244" i="30"/>
  <c r="BE138" i="30" s="1"/>
  <c r="BE149" i="30" s="1"/>
  <c r="AF256" i="30"/>
  <c r="AF140" i="30" s="1"/>
  <c r="AF151" i="30" s="1"/>
  <c r="AF75" i="32" s="1"/>
  <c r="AJ256" i="30"/>
  <c r="AJ140" i="30" s="1"/>
  <c r="AJ151" i="30" s="1"/>
  <c r="AJ75" i="32" s="1"/>
  <c r="BF256" i="30"/>
  <c r="BF140" i="30" s="1"/>
  <c r="BF151" i="30" s="1"/>
  <c r="BF75" i="32" s="1"/>
  <c r="AK244" i="30"/>
  <c r="AK138" i="30" s="1"/>
  <c r="AK149" i="30" s="1"/>
  <c r="AZ256" i="30"/>
  <c r="AZ140" i="30" s="1"/>
  <c r="AZ151" i="30" s="1"/>
  <c r="AZ75" i="32" s="1"/>
  <c r="Z40" i="30"/>
  <c r="Z28" i="30" s="1"/>
  <c r="Y257" i="30"/>
  <c r="Y141" i="30" s="1"/>
  <c r="Y152" i="30" s="1"/>
  <c r="P257" i="30"/>
  <c r="P141" i="30" s="1"/>
  <c r="P152" i="30" s="1"/>
  <c r="BA256" i="30"/>
  <c r="BA140" i="30" s="1"/>
  <c r="BA151" i="30" s="1"/>
  <c r="BA75" i="32" s="1"/>
  <c r="AB244" i="30"/>
  <c r="AB138" i="30" s="1"/>
  <c r="AB149" i="30" s="1"/>
  <c r="AG244" i="30"/>
  <c r="AG138" i="30" s="1"/>
  <c r="AG149" i="30" s="1"/>
  <c r="AV256" i="30"/>
  <c r="AV140" i="30" s="1"/>
  <c r="AV151" i="30" s="1"/>
  <c r="AV75" i="32" s="1"/>
  <c r="AA256" i="30"/>
  <c r="AA140" i="30" s="1"/>
  <c r="AA151" i="30" s="1"/>
  <c r="AA75" i="32" s="1"/>
  <c r="AW256" i="30"/>
  <c r="AW140" i="30" s="1"/>
  <c r="AW151" i="30" s="1"/>
  <c r="AW75" i="32" s="1"/>
  <c r="AX256" i="30"/>
  <c r="AX140" i="30" s="1"/>
  <c r="AX151" i="30" s="1"/>
  <c r="AX75" i="32" s="1"/>
  <c r="AV257" i="30"/>
  <c r="AV141" i="30" s="1"/>
  <c r="AV152" i="30" s="1"/>
  <c r="AU256" i="30"/>
  <c r="AU140" i="30" s="1"/>
  <c r="AU151" i="30" s="1"/>
  <c r="AU75" i="32" s="1"/>
  <c r="AD257" i="30"/>
  <c r="AD141" i="30" s="1"/>
  <c r="AD152" i="30" s="1"/>
  <c r="Y244" i="30"/>
  <c r="Y138" i="30" s="1"/>
  <c r="Y149" i="30" s="1"/>
  <c r="BG244" i="30"/>
  <c r="BG138" i="30" s="1"/>
  <c r="BG149" i="30" s="1"/>
  <c r="T244" i="30"/>
  <c r="T138" i="30" s="1"/>
  <c r="T149" i="30" s="1"/>
  <c r="BD244" i="30"/>
  <c r="AN256" i="30"/>
  <c r="AN140" i="30" s="1"/>
  <c r="AN151" i="30" s="1"/>
  <c r="AN75" i="32" s="1"/>
  <c r="P299" i="30"/>
  <c r="P287" i="30"/>
  <c r="O299" i="30"/>
  <c r="O287" i="30"/>
  <c r="AW299" i="30"/>
  <c r="AW287" i="30"/>
  <c r="AU299" i="30"/>
  <c r="AU287" i="30"/>
  <c r="AB285" i="30"/>
  <c r="AB233" i="30"/>
  <c r="I303" i="30"/>
  <c r="I292" i="30"/>
  <c r="I293" i="30"/>
  <c r="I45" i="30"/>
  <c r="AZ285" i="30"/>
  <c r="AZ233" i="30"/>
  <c r="AE284" i="30"/>
  <c r="AE232" i="30"/>
  <c r="AX285" i="30"/>
  <c r="AX233" i="30"/>
  <c r="AT245" i="30"/>
  <c r="AT139" i="30" s="1"/>
  <c r="AT150" i="30" s="1"/>
  <c r="AB284" i="30"/>
  <c r="AB232" i="30"/>
  <c r="AB136" i="30" s="1"/>
  <c r="AB147" i="30" s="1"/>
  <c r="BK241" i="30"/>
  <c r="U244" i="30"/>
  <c r="R244" i="30"/>
  <c r="AF285" i="30"/>
  <c r="AJ245" i="30"/>
  <c r="AJ139" i="30" s="1"/>
  <c r="AJ150" i="30" s="1"/>
  <c r="BB284" i="30"/>
  <c r="BB232" i="30"/>
  <c r="AL284" i="30"/>
  <c r="AL232" i="30"/>
  <c r="AL136" i="30" s="1"/>
  <c r="AL147" i="30" s="1"/>
  <c r="Z245" i="30"/>
  <c r="Z139" i="30" s="1"/>
  <c r="Z150" i="30" s="1"/>
  <c r="BK35" i="30"/>
  <c r="BK36" i="30"/>
  <c r="BK255" i="30"/>
  <c r="Q285" i="30"/>
  <c r="Q233" i="30"/>
  <c r="AS285" i="30"/>
  <c r="AS233" i="30"/>
  <c r="U285" i="30"/>
  <c r="U233" i="30"/>
  <c r="BC284" i="30"/>
  <c r="BC232" i="30"/>
  <c r="BC136" i="30" s="1"/>
  <c r="BC147" i="30" s="1"/>
  <c r="Y285" i="30"/>
  <c r="Y233" i="30"/>
  <c r="AV245" i="30"/>
  <c r="AV139" i="30" s="1"/>
  <c r="AV150" i="30" s="1"/>
  <c r="AI285" i="30"/>
  <c r="AI233" i="30"/>
  <c r="AY285" i="30"/>
  <c r="AY233" i="30"/>
  <c r="T284" i="30"/>
  <c r="T232" i="30"/>
  <c r="T136" i="30" s="1"/>
  <c r="T147" i="30" s="1"/>
  <c r="R256" i="30"/>
  <c r="R140" i="30" s="1"/>
  <c r="R151" i="30" s="1"/>
  <c r="R75" i="32" s="1"/>
  <c r="AW285" i="30"/>
  <c r="AW233" i="30"/>
  <c r="AL244" i="30"/>
  <c r="AL138" i="30" s="1"/>
  <c r="AL149" i="30" s="1"/>
  <c r="Y284" i="30"/>
  <c r="Y232" i="30"/>
  <c r="BA245" i="30"/>
  <c r="BA139" i="30" s="1"/>
  <c r="BA150" i="30" s="1"/>
  <c r="BK243" i="30"/>
  <c r="D293" i="30"/>
  <c r="D292" i="30"/>
  <c r="D303" i="30"/>
  <c r="D45" i="30"/>
  <c r="T285" i="30"/>
  <c r="T233" i="30"/>
  <c r="BH245" i="30"/>
  <c r="BH139" i="30" s="1"/>
  <c r="BH150" i="30" s="1"/>
  <c r="H294" i="30"/>
  <c r="H295" i="30"/>
  <c r="H46" i="30"/>
  <c r="H48" i="30" s="1"/>
  <c r="H26" i="30" s="1"/>
  <c r="H297" i="30" s="1"/>
  <c r="AQ245" i="30"/>
  <c r="AQ139" i="30" s="1"/>
  <c r="AQ150" i="30" s="1"/>
  <c r="S245" i="30"/>
  <c r="S139" i="30" s="1"/>
  <c r="S150" i="30" s="1"/>
  <c r="BB285" i="30"/>
  <c r="BB233" i="30"/>
  <c r="AL285" i="30"/>
  <c r="AL233" i="30"/>
  <c r="J303" i="30"/>
  <c r="J292" i="30"/>
  <c r="J293" i="30"/>
  <c r="J45" i="30"/>
  <c r="P41" i="30"/>
  <c r="P29" i="30" s="1"/>
  <c r="BF285" i="30"/>
  <c r="R284" i="30"/>
  <c r="BD299" i="30"/>
  <c r="AR284" i="30"/>
  <c r="AR232" i="30"/>
  <c r="AR136" i="30" s="1"/>
  <c r="AR147" i="30" s="1"/>
  <c r="O285" i="30"/>
  <c r="O286" i="30" s="1"/>
  <c r="O289" i="30" s="1"/>
  <c r="O233" i="30"/>
  <c r="AJ285" i="30"/>
  <c r="AJ233" i="30"/>
  <c r="R285" i="30"/>
  <c r="R233" i="30"/>
  <c r="W285" i="30"/>
  <c r="W233" i="30"/>
  <c r="E303" i="30"/>
  <c r="E292" i="30"/>
  <c r="E293" i="30"/>
  <c r="E45" i="30"/>
  <c r="BC257" i="30"/>
  <c r="BC141" i="30" s="1"/>
  <c r="BC152" i="30" s="1"/>
  <c r="BG284" i="30"/>
  <c r="BG232" i="30"/>
  <c r="I289" i="30"/>
  <c r="AB245" i="30"/>
  <c r="AB139" i="30" s="1"/>
  <c r="AB150" i="30" s="1"/>
  <c r="AU285" i="30"/>
  <c r="AU286" i="30" s="1"/>
  <c r="AU289" i="30" s="1"/>
  <c r="AU233" i="30"/>
  <c r="AI244" i="30"/>
  <c r="AI138" i="30" s="1"/>
  <c r="AI149" i="30" s="1"/>
  <c r="N284" i="30"/>
  <c r="N232" i="30"/>
  <c r="N136" i="30" s="1"/>
  <c r="N147" i="30" s="1"/>
  <c r="U284" i="30"/>
  <c r="J235" i="30"/>
  <c r="K227" i="30"/>
  <c r="AS284" i="30"/>
  <c r="AS232" i="30"/>
  <c r="AH284" i="30"/>
  <c r="AH232" i="30"/>
  <c r="AH136" i="30" s="1"/>
  <c r="AH147" i="30" s="1"/>
  <c r="BH288" i="30"/>
  <c r="BA284" i="30"/>
  <c r="BA232" i="30"/>
  <c r="BA136" i="30" s="1"/>
  <c r="BA147" i="30" s="1"/>
  <c r="BK230" i="30"/>
  <c r="X285" i="30"/>
  <c r="X286" i="30" s="1"/>
  <c r="X289" i="30" s="1"/>
  <c r="W244" i="30"/>
  <c r="W138" i="30" s="1"/>
  <c r="W149" i="30" s="1"/>
  <c r="AY284" i="30"/>
  <c r="AY232" i="30"/>
  <c r="AO284" i="30"/>
  <c r="AO232" i="30"/>
  <c r="Q284" i="30"/>
  <c r="Q232" i="30"/>
  <c r="Q136" i="30" s="1"/>
  <c r="Q147" i="30" s="1"/>
  <c r="BI285" i="30"/>
  <c r="BI233" i="30"/>
  <c r="AS245" i="30"/>
  <c r="AS139" i="30" s="1"/>
  <c r="AS150" i="30" s="1"/>
  <c r="AM285" i="30"/>
  <c r="K293" i="30"/>
  <c r="K303" i="30"/>
  <c r="K292" i="30"/>
  <c r="K45" i="30"/>
  <c r="AQ285" i="30"/>
  <c r="AQ233" i="30"/>
  <c r="BI284" i="30"/>
  <c r="AX284" i="30"/>
  <c r="AI284" i="30"/>
  <c r="AI232" i="30"/>
  <c r="W284" i="30"/>
  <c r="W232" i="30"/>
  <c r="AQ284" i="30"/>
  <c r="AQ232" i="30"/>
  <c r="AF244" i="30"/>
  <c r="L294" i="30"/>
  <c r="L295" i="30"/>
  <c r="L46" i="30"/>
  <c r="L48" i="30" s="1"/>
  <c r="L26" i="30" s="1"/>
  <c r="L297" i="30" s="1"/>
  <c r="AN284" i="30"/>
  <c r="V245" i="30"/>
  <c r="V139" i="30" s="1"/>
  <c r="V150" i="30" s="1"/>
  <c r="AV285" i="30"/>
  <c r="AV233" i="30"/>
  <c r="I295" i="30"/>
  <c r="I294" i="30"/>
  <c r="I46" i="30"/>
  <c r="I48" i="30" s="1"/>
  <c r="I26" i="30" s="1"/>
  <c r="I297" i="30" s="1"/>
  <c r="AV284" i="30"/>
  <c r="T245" i="30"/>
  <c r="T139" i="30" s="1"/>
  <c r="T150" i="30" s="1"/>
  <c r="AD285" i="30"/>
  <c r="AD233" i="30"/>
  <c r="BG245" i="30"/>
  <c r="BG139" i="30" s="1"/>
  <c r="BG150" i="30" s="1"/>
  <c r="BJ284" i="30"/>
  <c r="BJ232" i="30"/>
  <c r="AT284" i="30"/>
  <c r="AT232" i="30"/>
  <c r="AD284" i="30"/>
  <c r="AD232" i="30"/>
  <c r="F289" i="30"/>
  <c r="BF244" i="30"/>
  <c r="BF138" i="30" s="1"/>
  <c r="BF149" i="30" s="1"/>
  <c r="BA233" i="30"/>
  <c r="AH233" i="30"/>
  <c r="BB245" i="30"/>
  <c r="BB139" i="30" s="1"/>
  <c r="BB150" i="30" s="1"/>
  <c r="F295" i="30"/>
  <c r="F294" i="30"/>
  <c r="F46" i="30"/>
  <c r="F48" i="30" s="1"/>
  <c r="F26" i="30" s="1"/>
  <c r="F297" i="30" s="1"/>
  <c r="M242" i="30"/>
  <c r="M240" i="30"/>
  <c r="M295" i="30"/>
  <c r="M294" i="30"/>
  <c r="M46" i="30"/>
  <c r="M48" i="30" s="1"/>
  <c r="M26" i="30" s="1"/>
  <c r="M297" i="30" s="1"/>
  <c r="D294" i="30"/>
  <c r="D295" i="30"/>
  <c r="D46" i="30"/>
  <c r="D48" i="30" s="1"/>
  <c r="D26" i="30" s="1"/>
  <c r="D297" i="30" s="1"/>
  <c r="M277" i="30"/>
  <c r="N43" i="30"/>
  <c r="N31" i="30" s="1"/>
  <c r="BC244" i="30"/>
  <c r="BC138" i="30" s="1"/>
  <c r="BC149" i="30" s="1"/>
  <c r="K295" i="30"/>
  <c r="K294" i="30"/>
  <c r="K46" i="30"/>
  <c r="K48" i="30" s="1"/>
  <c r="K26" i="30" s="1"/>
  <c r="K297" i="30" s="1"/>
  <c r="AC284" i="30"/>
  <c r="AC232" i="30"/>
  <c r="AC136" i="30" s="1"/>
  <c r="AC147" i="30" s="1"/>
  <c r="BK254" i="30"/>
  <c r="W257" i="30"/>
  <c r="W141" i="30" s="1"/>
  <c r="W152" i="30" s="1"/>
  <c r="V285" i="30"/>
  <c r="V233" i="30"/>
  <c r="AK245" i="30"/>
  <c r="AK139" i="30" s="1"/>
  <c r="AK150" i="30" s="1"/>
  <c r="BG285" i="30"/>
  <c r="BG233" i="30"/>
  <c r="AK284" i="30"/>
  <c r="AK232" i="30"/>
  <c r="B271" i="30"/>
  <c r="M271" i="30" s="1"/>
  <c r="N39" i="30"/>
  <c r="N27" i="30" s="1"/>
  <c r="S285" i="30"/>
  <c r="S233" i="30"/>
  <c r="BJ285" i="30"/>
  <c r="BJ233" i="30"/>
  <c r="AT285" i="30"/>
  <c r="AT233" i="30"/>
  <c r="AX245" i="30"/>
  <c r="AX139" i="30" s="1"/>
  <c r="AX150" i="30" s="1"/>
  <c r="AH285" i="30"/>
  <c r="N245" i="30"/>
  <c r="N139" i="30" s="1"/>
  <c r="N150" i="30" s="1"/>
  <c r="M243" i="30"/>
  <c r="E295" i="30"/>
  <c r="E294" i="30"/>
  <c r="E46" i="30"/>
  <c r="E48" i="30" s="1"/>
  <c r="E26" i="30" s="1"/>
  <c r="E297" i="30" s="1"/>
  <c r="BD245" i="30"/>
  <c r="G293" i="30"/>
  <c r="G303" i="30"/>
  <c r="G292" i="30"/>
  <c r="G45" i="30"/>
  <c r="AZ284" i="30"/>
  <c r="AZ232" i="30"/>
  <c r="AU244" i="30"/>
  <c r="S284" i="30"/>
  <c r="S232" i="30"/>
  <c r="BJ245" i="30"/>
  <c r="BJ139" i="30" s="1"/>
  <c r="BJ150" i="30" s="1"/>
  <c r="BE285" i="30"/>
  <c r="BE233" i="30"/>
  <c r="J295" i="30"/>
  <c r="J294" i="30"/>
  <c r="J46" i="30"/>
  <c r="J48" i="30" s="1"/>
  <c r="J26" i="30" s="1"/>
  <c r="J297" i="30" s="1"/>
  <c r="BK242" i="30"/>
  <c r="BK205" i="30" s="1"/>
  <c r="BA244" i="30"/>
  <c r="BA138" i="30" s="1"/>
  <c r="BA149" i="30" s="1"/>
  <c r="BH284" i="30"/>
  <c r="BH232" i="30"/>
  <c r="BH136" i="30" s="1"/>
  <c r="BH147" i="30" s="1"/>
  <c r="AR285" i="30"/>
  <c r="AR233" i="30"/>
  <c r="AA284" i="30"/>
  <c r="AA232" i="30"/>
  <c r="AR245" i="30"/>
  <c r="AR139" i="30" s="1"/>
  <c r="AR150" i="30" s="1"/>
  <c r="BF284" i="30"/>
  <c r="BF232" i="30"/>
  <c r="BF136" i="30" s="1"/>
  <c r="BF147" i="30" s="1"/>
  <c r="AY245" i="30"/>
  <c r="AY139" i="30" s="1"/>
  <c r="AY150" i="30" s="1"/>
  <c r="AP244" i="30"/>
  <c r="AP138" i="30" s="1"/>
  <c r="AP149" i="30" s="1"/>
  <c r="BA285" i="30"/>
  <c r="AO245" i="30"/>
  <c r="AO139" i="30" s="1"/>
  <c r="AO150" i="30" s="1"/>
  <c r="AE245" i="30"/>
  <c r="M266" i="30"/>
  <c r="N42" i="30"/>
  <c r="N30" i="30" s="1"/>
  <c r="AP285" i="30"/>
  <c r="AP233" i="30"/>
  <c r="AC285" i="30"/>
  <c r="AC233" i="30"/>
  <c r="AI257" i="30"/>
  <c r="AI141" i="30" s="1"/>
  <c r="AI152" i="30" s="1"/>
  <c r="L247" i="30"/>
  <c r="L239" i="30" s="1"/>
  <c r="L238" i="30"/>
  <c r="L183" i="30" s="1"/>
  <c r="L169" i="30" s="1"/>
  <c r="K246" i="30"/>
  <c r="AO285" i="30"/>
  <c r="AO233" i="30"/>
  <c r="H303" i="30"/>
  <c r="H293" i="30"/>
  <c r="H292" i="30"/>
  <c r="H45" i="30"/>
  <c r="X244" i="30"/>
  <c r="AP284" i="30"/>
  <c r="AP232" i="30"/>
  <c r="AP136" i="30" s="1"/>
  <c r="AP147" i="30" s="1"/>
  <c r="Z285" i="30"/>
  <c r="Z233" i="30"/>
  <c r="F292" i="30"/>
  <c r="F303" i="30"/>
  <c r="F293" i="30"/>
  <c r="F45" i="30"/>
  <c r="BE284" i="30"/>
  <c r="BE232" i="30"/>
  <c r="BE136" i="30" s="1"/>
  <c r="BE147" i="30" s="1"/>
  <c r="AG284" i="30"/>
  <c r="AG232" i="30"/>
  <c r="M303" i="30"/>
  <c r="M293" i="30"/>
  <c r="M292" i="30"/>
  <c r="M45" i="30"/>
  <c r="AM284" i="30"/>
  <c r="AM232" i="30"/>
  <c r="AM136" i="30" s="1"/>
  <c r="AM147" i="30" s="1"/>
  <c r="BI245" i="30"/>
  <c r="BI139" i="30" s="1"/>
  <c r="BI150" i="30" s="1"/>
  <c r="AC245" i="30"/>
  <c r="AC139" i="30" s="1"/>
  <c r="AC150" i="30" s="1"/>
  <c r="AN285" i="30"/>
  <c r="L292" i="30"/>
  <c r="L293" i="30"/>
  <c r="L303" i="30"/>
  <c r="L45" i="30"/>
  <c r="BC285" i="30"/>
  <c r="BC233" i="30"/>
  <c r="AJ284" i="30"/>
  <c r="AJ232" i="30"/>
  <c r="AA245" i="30"/>
  <c r="V284" i="30"/>
  <c r="V232" i="30"/>
  <c r="G295" i="30"/>
  <c r="G294" i="30"/>
  <c r="G46" i="30"/>
  <c r="G48" i="30" s="1"/>
  <c r="G26" i="30" s="1"/>
  <c r="G297" i="30" s="1"/>
  <c r="AH244" i="30"/>
  <c r="AH138" i="30" s="1"/>
  <c r="AH149" i="30" s="1"/>
  <c r="AK233" i="30"/>
  <c r="Z284" i="30"/>
  <c r="AG285" i="30"/>
  <c r="AW221" i="30" l="1"/>
  <c r="AW222" i="30" s="1"/>
  <c r="AT221" i="30"/>
  <c r="AT222" i="30" s="1"/>
  <c r="BA221" i="30"/>
  <c r="BA222" i="30" s="1"/>
  <c r="S221" i="30"/>
  <c r="S222" i="30" s="1"/>
  <c r="AE300" i="30"/>
  <c r="AE295" i="30" s="1"/>
  <c r="E259" i="30"/>
  <c r="F34" i="30"/>
  <c r="BH41" i="30"/>
  <c r="BH29" i="30" s="1"/>
  <c r="BH221" i="30"/>
  <c r="BH222" i="30" s="1"/>
  <c r="L176" i="30"/>
  <c r="L177" i="30" s="1"/>
  <c r="BE221" i="30"/>
  <c r="BE222" i="30" s="1"/>
  <c r="BB221" i="30"/>
  <c r="BB222" i="30" s="1"/>
  <c r="AP221" i="30"/>
  <c r="AP222" i="30" s="1"/>
  <c r="AH221" i="30"/>
  <c r="AH222" i="30" s="1"/>
  <c r="AN221" i="30"/>
  <c r="AN222" i="30" s="1"/>
  <c r="AO221" i="30"/>
  <c r="AO222" i="30" s="1"/>
  <c r="AG221" i="30"/>
  <c r="AG222" i="30" s="1"/>
  <c r="AI221" i="30"/>
  <c r="AI222" i="30" s="1"/>
  <c r="T221" i="30"/>
  <c r="T222" i="30" s="1"/>
  <c r="BD286" i="30"/>
  <c r="BD289" i="30" s="1"/>
  <c r="Z221" i="30"/>
  <c r="Z222" i="30" s="1"/>
  <c r="AS221" i="30"/>
  <c r="AS222" i="30" s="1"/>
  <c r="BD288" i="30"/>
  <c r="W221" i="30"/>
  <c r="W222" i="30" s="1"/>
  <c r="P40" i="30"/>
  <c r="P28" i="30" s="1"/>
  <c r="B256" i="30"/>
  <c r="M256" i="30" s="1"/>
  <c r="L256" i="30" s="1"/>
  <c r="AZ221" i="30"/>
  <c r="AZ222" i="30" s="1"/>
  <c r="L211" i="30"/>
  <c r="L219" i="30"/>
  <c r="AY221" i="30"/>
  <c r="AY222" i="30" s="1"/>
  <c r="AE221" i="30"/>
  <c r="AE222" i="30" s="1"/>
  <c r="AB221" i="30"/>
  <c r="AB222" i="30" s="1"/>
  <c r="O221" i="30"/>
  <c r="O222" i="30" s="1"/>
  <c r="BK198" i="30"/>
  <c r="BK206" i="30" s="1"/>
  <c r="BK207" i="30" s="1"/>
  <c r="BK213" i="30"/>
  <c r="BK220" i="30"/>
  <c r="BJ221" i="30"/>
  <c r="BJ222" i="30" s="1"/>
  <c r="AJ221" i="30"/>
  <c r="AJ222" i="30" s="1"/>
  <c r="R221" i="30"/>
  <c r="R222" i="30" s="1"/>
  <c r="BC221" i="30"/>
  <c r="BC222" i="30" s="1"/>
  <c r="AU221" i="30"/>
  <c r="AU222" i="30" s="1"/>
  <c r="N221" i="30"/>
  <c r="N222" i="30" s="1"/>
  <c r="AR221" i="30"/>
  <c r="AR222" i="30" s="1"/>
  <c r="AK221" i="30"/>
  <c r="AK222" i="30" s="1"/>
  <c r="BF221" i="30"/>
  <c r="BF222" i="30" s="1"/>
  <c r="AM221" i="30"/>
  <c r="AM222" i="30" s="1"/>
  <c r="BG221" i="30"/>
  <c r="BG222" i="30" s="1"/>
  <c r="AX221" i="30"/>
  <c r="AX222" i="30" s="1"/>
  <c r="BD221" i="30"/>
  <c r="BD222" i="30" s="1"/>
  <c r="AC221" i="30"/>
  <c r="AC222" i="30" s="1"/>
  <c r="V221" i="30"/>
  <c r="V222" i="30" s="1"/>
  <c r="AL221" i="30"/>
  <c r="AL222" i="30" s="1"/>
  <c r="P221" i="30"/>
  <c r="P222" i="30" s="1"/>
  <c r="AQ221" i="30"/>
  <c r="AQ222" i="30" s="1"/>
  <c r="U221" i="30"/>
  <c r="U222" i="30" s="1"/>
  <c r="AD221" i="30"/>
  <c r="AD222" i="30" s="1"/>
  <c r="M241" i="30"/>
  <c r="AF299" i="30"/>
  <c r="AF303" i="30" s="1"/>
  <c r="AR137" i="30"/>
  <c r="AR148" i="30" s="1"/>
  <c r="P300" i="30"/>
  <c r="P295" i="30" s="1"/>
  <c r="AJ137" i="30"/>
  <c r="AJ148" i="30" s="1"/>
  <c r="S137" i="30"/>
  <c r="S148" i="30" s="1"/>
  <c r="AQ137" i="30"/>
  <c r="AQ148" i="30" s="1"/>
  <c r="BI137" i="30"/>
  <c r="BI148" i="30" s="1"/>
  <c r="AX137" i="30"/>
  <c r="AX148" i="30" s="1"/>
  <c r="V137" i="30"/>
  <c r="V148" i="30" s="1"/>
  <c r="AZ137" i="30"/>
  <c r="AZ148" i="30" s="1"/>
  <c r="Z137" i="30"/>
  <c r="Z148" i="30" s="1"/>
  <c r="BJ137" i="30"/>
  <c r="BJ148" i="30" s="1"/>
  <c r="BG137" i="30"/>
  <c r="BG148" i="30" s="1"/>
  <c r="BB137" i="30"/>
  <c r="BB148" i="30" s="1"/>
  <c r="T137" i="30"/>
  <c r="T148" i="30" s="1"/>
  <c r="AY137" i="30"/>
  <c r="AY148" i="30" s="1"/>
  <c r="BI40" i="30"/>
  <c r="BI28" i="30" s="1"/>
  <c r="N137" i="30"/>
  <c r="N148" i="30" s="1"/>
  <c r="AB137" i="30"/>
  <c r="AB148" i="30" s="1"/>
  <c r="AF137" i="30"/>
  <c r="AF148" i="30" s="1"/>
  <c r="AS137" i="30"/>
  <c r="AS148" i="30" s="1"/>
  <c r="AK137" i="30"/>
  <c r="AK148" i="30" s="1"/>
  <c r="AO137" i="30"/>
  <c r="AO148" i="30" s="1"/>
  <c r="X299" i="30"/>
  <c r="X292" i="30" s="1"/>
  <c r="B257" i="30"/>
  <c r="M257" i="30" s="1"/>
  <c r="M141" i="30" s="1"/>
  <c r="M152" i="30" s="1"/>
  <c r="AF41" i="30"/>
  <c r="AF29" i="30" s="1"/>
  <c r="AN40" i="30"/>
  <c r="AN28" i="30" s="1"/>
  <c r="AF286" i="30"/>
  <c r="AF289" i="30" s="1"/>
  <c r="AV40" i="30"/>
  <c r="AV28" i="30" s="1"/>
  <c r="X41" i="30"/>
  <c r="X29" i="30" s="1"/>
  <c r="B233" i="30"/>
  <c r="M233" i="30" s="1"/>
  <c r="N300" i="30"/>
  <c r="N295" i="30" s="1"/>
  <c r="L257" i="30"/>
  <c r="AW40" i="30"/>
  <c r="AW28" i="30" s="1"/>
  <c r="AW138" i="30"/>
  <c r="AW149" i="30" s="1"/>
  <c r="AI40" i="30"/>
  <c r="AI28" i="30" s="1"/>
  <c r="AI136" i="30"/>
  <c r="AI147" i="30" s="1"/>
  <c r="AJ40" i="30"/>
  <c r="AJ28" i="30" s="1"/>
  <c r="AJ136" i="30"/>
  <c r="AJ147" i="30" s="1"/>
  <c r="AE41" i="30"/>
  <c r="AE29" i="30" s="1"/>
  <c r="AE139" i="30"/>
  <c r="AE150" i="30" s="1"/>
  <c r="AA40" i="30"/>
  <c r="AA28" i="30" s="1"/>
  <c r="AA136" i="30"/>
  <c r="AA147" i="30" s="1"/>
  <c r="AU40" i="30"/>
  <c r="AU28" i="30" s="1"/>
  <c r="AU138" i="30"/>
  <c r="AU149" i="30" s="1"/>
  <c r="AH41" i="30"/>
  <c r="AH29" i="30" s="1"/>
  <c r="AH137" i="30"/>
  <c r="AH148" i="30" s="1"/>
  <c r="BJ40" i="30"/>
  <c r="BJ28" i="30" s="1"/>
  <c r="BJ136" i="30"/>
  <c r="BJ147" i="30" s="1"/>
  <c r="AO40" i="30"/>
  <c r="AO28" i="30" s="1"/>
  <c r="AO136" i="30"/>
  <c r="AO147" i="30" s="1"/>
  <c r="W41" i="30"/>
  <c r="W29" i="30" s="1"/>
  <c r="W137" i="30"/>
  <c r="W148" i="30" s="1"/>
  <c r="AI41" i="30"/>
  <c r="AI29" i="30" s="1"/>
  <c r="AI137" i="30"/>
  <c r="AI148" i="30" s="1"/>
  <c r="R40" i="30"/>
  <c r="R28" i="30" s="1"/>
  <c r="R138" i="30"/>
  <c r="R149" i="30" s="1"/>
  <c r="AE40" i="30"/>
  <c r="AE28" i="30" s="1"/>
  <c r="AE136" i="30"/>
  <c r="AE147" i="30" s="1"/>
  <c r="BD40" i="30"/>
  <c r="BD28" i="30" s="1"/>
  <c r="BD138" i="30"/>
  <c r="BD149" i="30" s="1"/>
  <c r="S40" i="30"/>
  <c r="S28" i="30" s="1"/>
  <c r="S136" i="30"/>
  <c r="S147" i="30" s="1"/>
  <c r="Y40" i="30"/>
  <c r="Y28" i="30" s="1"/>
  <c r="Y136" i="30"/>
  <c r="Y147" i="30" s="1"/>
  <c r="AA41" i="30"/>
  <c r="AA29" i="30" s="1"/>
  <c r="AA139" i="30"/>
  <c r="AA150" i="30" s="1"/>
  <c r="X40" i="30"/>
  <c r="X28" i="30" s="1"/>
  <c r="X138" i="30"/>
  <c r="X149" i="30" s="1"/>
  <c r="BD41" i="30"/>
  <c r="BD29" i="30" s="1"/>
  <c r="BD139" i="30"/>
  <c r="BD150" i="30" s="1"/>
  <c r="U41" i="30"/>
  <c r="U29" i="30" s="1"/>
  <c r="U137" i="30"/>
  <c r="U148" i="30" s="1"/>
  <c r="AZ40" i="30"/>
  <c r="AZ28" i="30" s="1"/>
  <c r="AZ136" i="30"/>
  <c r="AZ147" i="30" s="1"/>
  <c r="BA41" i="30"/>
  <c r="BA29" i="30" s="1"/>
  <c r="BA137" i="30"/>
  <c r="BA148" i="30" s="1"/>
  <c r="BG40" i="30"/>
  <c r="BG28" i="30" s="1"/>
  <c r="BG136" i="30"/>
  <c r="BG147" i="30" s="1"/>
  <c r="AW41" i="30"/>
  <c r="AW29" i="30" s="1"/>
  <c r="AW137" i="30"/>
  <c r="AW148" i="30" s="1"/>
  <c r="U40" i="30"/>
  <c r="U28" i="30" s="1"/>
  <c r="U138" i="30"/>
  <c r="U149" i="30" s="1"/>
  <c r="AT40" i="30"/>
  <c r="AT28" i="30" s="1"/>
  <c r="AT136" i="30"/>
  <c r="AT147" i="30" s="1"/>
  <c r="BC41" i="30"/>
  <c r="BC29" i="30" s="1"/>
  <c r="BC137" i="30"/>
  <c r="BC148" i="30" s="1"/>
  <c r="AC41" i="30"/>
  <c r="AC29" i="30" s="1"/>
  <c r="AC137" i="30"/>
  <c r="AC148" i="30" s="1"/>
  <c r="O41" i="30"/>
  <c r="O29" i="30" s="1"/>
  <c r="O137" i="30"/>
  <c r="O148" i="30" s="1"/>
  <c r="AV41" i="30"/>
  <c r="AV29" i="30" s="1"/>
  <c r="AV137" i="30"/>
  <c r="AV148" i="30" s="1"/>
  <c r="AF40" i="30"/>
  <c r="AF28" i="30" s="1"/>
  <c r="AF138" i="30"/>
  <c r="AF149" i="30" s="1"/>
  <c r="AY40" i="30"/>
  <c r="AY28" i="30" s="1"/>
  <c r="AY136" i="30"/>
  <c r="AY147" i="30" s="1"/>
  <c r="R41" i="30"/>
  <c r="R29" i="30" s="1"/>
  <c r="R137" i="30"/>
  <c r="R148" i="30" s="1"/>
  <c r="AG40" i="30"/>
  <c r="AG28" i="30" s="1"/>
  <c r="AG136" i="30"/>
  <c r="AG147" i="30" s="1"/>
  <c r="BE41" i="30"/>
  <c r="BE29" i="30" s="1"/>
  <c r="BE137" i="30"/>
  <c r="BE148" i="30" s="1"/>
  <c r="AD41" i="30"/>
  <c r="AD29" i="30" s="1"/>
  <c r="AD137" i="30"/>
  <c r="AD148" i="30" s="1"/>
  <c r="AQ40" i="30"/>
  <c r="AQ28" i="30" s="1"/>
  <c r="AQ136" i="30"/>
  <c r="AQ147" i="30" s="1"/>
  <c r="Y41" i="30"/>
  <c r="Y29" i="30" s="1"/>
  <c r="Y137" i="30"/>
  <c r="Y148" i="30" s="1"/>
  <c r="Q41" i="30"/>
  <c r="Q29" i="30" s="1"/>
  <c r="Q137" i="30"/>
  <c r="Q148" i="30" s="1"/>
  <c r="AP41" i="30"/>
  <c r="AP29" i="30" s="1"/>
  <c r="AP137" i="30"/>
  <c r="AP148" i="30" s="1"/>
  <c r="AT41" i="30"/>
  <c r="AT29" i="30" s="1"/>
  <c r="AT137" i="30"/>
  <c r="AT148" i="30" s="1"/>
  <c r="BB40" i="30"/>
  <c r="BB28" i="30" s="1"/>
  <c r="BB136" i="30"/>
  <c r="BB147" i="30" s="1"/>
  <c r="AD40" i="30"/>
  <c r="AD28" i="30" s="1"/>
  <c r="AD136" i="30"/>
  <c r="AD147" i="30" s="1"/>
  <c r="AL41" i="30"/>
  <c r="AL29" i="30" s="1"/>
  <c r="AL137" i="30"/>
  <c r="AL148" i="30" s="1"/>
  <c r="V40" i="30"/>
  <c r="V28" i="30" s="1"/>
  <c r="V136" i="30"/>
  <c r="V147" i="30" s="1"/>
  <c r="AK40" i="30"/>
  <c r="AK28" i="30" s="1"/>
  <c r="AK136" i="30"/>
  <c r="AK147" i="30" s="1"/>
  <c r="W40" i="30"/>
  <c r="W28" i="30" s="1"/>
  <c r="W136" i="30"/>
  <c r="W147" i="30" s="1"/>
  <c r="AS40" i="30"/>
  <c r="AS28" i="30" s="1"/>
  <c r="AS136" i="30"/>
  <c r="AS147" i="30" s="1"/>
  <c r="AU41" i="30"/>
  <c r="AU29" i="30" s="1"/>
  <c r="AU137" i="30"/>
  <c r="AU148" i="30" s="1"/>
  <c r="AN41" i="30"/>
  <c r="AN29" i="30" s="1"/>
  <c r="AN139" i="30"/>
  <c r="AN150" i="30" s="1"/>
  <c r="BH40" i="30"/>
  <c r="BH28" i="30" s="1"/>
  <c r="AJ41" i="30"/>
  <c r="AJ29" i="30" s="1"/>
  <c r="AZ41" i="30"/>
  <c r="AZ29" i="30" s="1"/>
  <c r="BJ41" i="30"/>
  <c r="BJ29" i="30" s="1"/>
  <c r="AC40" i="30"/>
  <c r="AC28" i="30" s="1"/>
  <c r="AK288" i="30"/>
  <c r="Z41" i="30"/>
  <c r="Z29" i="30" s="1"/>
  <c r="AR40" i="30"/>
  <c r="AR28" i="30" s="1"/>
  <c r="AO41" i="30"/>
  <c r="AO29" i="30" s="1"/>
  <c r="AQ41" i="30"/>
  <c r="AQ29" i="30" s="1"/>
  <c r="AL40" i="30"/>
  <c r="AL28" i="30" s="1"/>
  <c r="AM40" i="30"/>
  <c r="AM28" i="30" s="1"/>
  <c r="BE40" i="30"/>
  <c r="BE28" i="30" s="1"/>
  <c r="AP40" i="30"/>
  <c r="AP28" i="30" s="1"/>
  <c r="BF40" i="30"/>
  <c r="BF28" i="30" s="1"/>
  <c r="AB40" i="30"/>
  <c r="AB28" i="30" s="1"/>
  <c r="T40" i="30"/>
  <c r="T28" i="30" s="1"/>
  <c r="P288" i="30"/>
  <c r="AA300" i="30"/>
  <c r="AA294" i="30" s="1"/>
  <c r="BG41" i="30"/>
  <c r="BG29" i="30" s="1"/>
  <c r="Q40" i="30"/>
  <c r="Q28" i="30" s="1"/>
  <c r="AK41" i="30"/>
  <c r="AK29" i="30" s="1"/>
  <c r="S41" i="30"/>
  <c r="S29" i="30" s="1"/>
  <c r="BB41" i="30"/>
  <c r="BB29" i="30" s="1"/>
  <c r="T41" i="30"/>
  <c r="T29" i="30" s="1"/>
  <c r="L242" i="30"/>
  <c r="L240" i="30"/>
  <c r="BC288" i="30"/>
  <c r="BC300" i="30"/>
  <c r="AA299" i="30"/>
  <c r="AA287" i="30"/>
  <c r="AA286" i="30"/>
  <c r="AA289" i="30" s="1"/>
  <c r="B245" i="30"/>
  <c r="M245" i="30" s="1"/>
  <c r="M139" i="30" s="1"/>
  <c r="M150" i="30" s="1"/>
  <c r="BG288" i="30"/>
  <c r="BG300" i="30"/>
  <c r="AC299" i="30"/>
  <c r="AC287" i="30"/>
  <c r="AC286" i="30"/>
  <c r="AC289" i="30" s="1"/>
  <c r="AV299" i="30"/>
  <c r="AV286" i="30"/>
  <c r="AV289" i="30" s="1"/>
  <c r="AV287" i="30"/>
  <c r="N41" i="30"/>
  <c r="N29" i="30" s="1"/>
  <c r="AQ299" i="30"/>
  <c r="AQ287" i="30"/>
  <c r="AQ286" i="30"/>
  <c r="AQ289" i="30" s="1"/>
  <c r="AQ288" i="30"/>
  <c r="AQ300" i="30"/>
  <c r="BI41" i="30"/>
  <c r="BI29" i="30" s="1"/>
  <c r="AH299" i="30"/>
  <c r="AH287" i="30"/>
  <c r="AH286" i="30"/>
  <c r="AH289" i="30" s="1"/>
  <c r="N286" i="30"/>
  <c r="N289" i="30" s="1"/>
  <c r="N299" i="30"/>
  <c r="N287" i="30"/>
  <c r="J50" i="30"/>
  <c r="J47" i="30"/>
  <c r="D50" i="30"/>
  <c r="D47" i="30"/>
  <c r="U300" i="30"/>
  <c r="U288" i="30"/>
  <c r="BK34" i="30"/>
  <c r="B244" i="30"/>
  <c r="M244" i="30" s="1"/>
  <c r="P294" i="30"/>
  <c r="P46" i="30"/>
  <c r="P48" i="30" s="1"/>
  <c r="P26" i="30" s="1"/>
  <c r="P297" i="30" s="1"/>
  <c r="M262" i="30"/>
  <c r="M267" i="30" s="1"/>
  <c r="L266" i="30"/>
  <c r="M42" i="30"/>
  <c r="M30" i="30" s="1"/>
  <c r="AG299" i="30"/>
  <c r="AG287" i="30"/>
  <c r="AG286" i="30"/>
  <c r="AG289" i="30" s="1"/>
  <c r="Z300" i="30"/>
  <c r="Z288" i="30"/>
  <c r="BA300" i="30"/>
  <c r="BA288" i="30"/>
  <c r="AR41" i="30"/>
  <c r="AR29" i="30" s="1"/>
  <c r="AZ299" i="30"/>
  <c r="AZ286" i="30"/>
  <c r="AZ289" i="30" s="1"/>
  <c r="AZ287" i="30"/>
  <c r="AH300" i="30"/>
  <c r="AH288" i="30"/>
  <c r="S288" i="30"/>
  <c r="S300" i="30"/>
  <c r="AT286" i="30"/>
  <c r="AT289" i="30" s="1"/>
  <c r="AT299" i="30"/>
  <c r="AT287" i="30"/>
  <c r="K50" i="30"/>
  <c r="K47" i="30"/>
  <c r="BI300" i="30"/>
  <c r="BI288" i="30"/>
  <c r="X300" i="30"/>
  <c r="X288" i="30"/>
  <c r="R300" i="30"/>
  <c r="R288" i="30"/>
  <c r="AI288" i="30"/>
  <c r="AI300" i="30"/>
  <c r="AS41" i="30"/>
  <c r="AS29" i="30" s="1"/>
  <c r="AX41" i="30"/>
  <c r="AX29" i="30" s="1"/>
  <c r="I50" i="30"/>
  <c r="I47" i="30"/>
  <c r="AE46" i="30"/>
  <c r="AE48" i="30" s="1"/>
  <c r="AE26" i="30" s="1"/>
  <c r="AE297" i="30" s="1"/>
  <c r="AJ299" i="30"/>
  <c r="AJ286" i="30"/>
  <c r="AJ289" i="30" s="1"/>
  <c r="AJ287" i="30"/>
  <c r="AC300" i="30"/>
  <c r="AC288" i="30"/>
  <c r="AR300" i="30"/>
  <c r="AR288" i="30"/>
  <c r="G50" i="30"/>
  <c r="G47" i="30"/>
  <c r="W299" i="30"/>
  <c r="W287" i="30"/>
  <c r="W286" i="30"/>
  <c r="W289" i="30" s="1"/>
  <c r="AS299" i="30"/>
  <c r="AS287" i="30"/>
  <c r="AS286" i="30"/>
  <c r="AS289" i="30" s="1"/>
  <c r="E47" i="30"/>
  <c r="E50" i="30"/>
  <c r="BD303" i="30"/>
  <c r="BD292" i="30"/>
  <c r="BD293" i="30"/>
  <c r="AW300" i="30"/>
  <c r="AW288" i="30"/>
  <c r="AS300" i="30"/>
  <c r="AS288" i="30"/>
  <c r="AF300" i="30"/>
  <c r="AF288" i="30"/>
  <c r="AX300" i="30"/>
  <c r="AX288" i="30"/>
  <c r="H50" i="30"/>
  <c r="H47" i="30"/>
  <c r="AG300" i="30"/>
  <c r="AG288" i="30"/>
  <c r="L50" i="30"/>
  <c r="L47" i="30"/>
  <c r="AM299" i="30"/>
  <c r="AM287" i="30"/>
  <c r="AM286" i="30"/>
  <c r="AM289" i="30" s="1"/>
  <c r="BE299" i="30"/>
  <c r="BE287" i="30"/>
  <c r="BE286" i="30"/>
  <c r="BE289" i="30" s="1"/>
  <c r="AP287" i="30"/>
  <c r="AP286" i="30"/>
  <c r="AP289" i="30" s="1"/>
  <c r="AP299" i="30"/>
  <c r="AO300" i="30"/>
  <c r="AO288" i="30"/>
  <c r="BE300" i="30"/>
  <c r="BE288" i="30"/>
  <c r="L271" i="30"/>
  <c r="M269" i="30"/>
  <c r="M39" i="30"/>
  <c r="M27" i="30" s="1"/>
  <c r="V41" i="30"/>
  <c r="V29" i="30" s="1"/>
  <c r="BJ286" i="30"/>
  <c r="BJ289" i="30" s="1"/>
  <c r="BJ299" i="30"/>
  <c r="BJ287" i="30"/>
  <c r="Q299" i="30"/>
  <c r="Q287" i="30"/>
  <c r="Q286" i="30"/>
  <c r="Q289" i="30" s="1"/>
  <c r="BA40" i="30"/>
  <c r="BA28" i="30" s="1"/>
  <c r="AU288" i="30"/>
  <c r="AU300" i="30"/>
  <c r="AJ300" i="30"/>
  <c r="AJ288" i="30"/>
  <c r="AU293" i="30"/>
  <c r="AU303" i="30"/>
  <c r="AU292" i="30"/>
  <c r="AU45" i="30"/>
  <c r="O293" i="30"/>
  <c r="O303" i="30"/>
  <c r="O292" i="30"/>
  <c r="O45" i="30"/>
  <c r="S299" i="30"/>
  <c r="S287" i="30"/>
  <c r="S286" i="30"/>
  <c r="S289" i="30" s="1"/>
  <c r="V286" i="30"/>
  <c r="V289" i="30" s="1"/>
  <c r="V299" i="30"/>
  <c r="V287" i="30"/>
  <c r="Z287" i="30"/>
  <c r="Z286" i="30"/>
  <c r="Z289" i="30" s="1"/>
  <c r="Z299" i="30"/>
  <c r="M47" i="30"/>
  <c r="M50" i="30"/>
  <c r="F50" i="30"/>
  <c r="F47" i="30"/>
  <c r="AP288" i="30"/>
  <c r="AP300" i="30"/>
  <c r="BH299" i="30"/>
  <c r="BH286" i="30"/>
  <c r="BH289" i="30" s="1"/>
  <c r="BH287" i="30"/>
  <c r="V300" i="30"/>
  <c r="V288" i="30"/>
  <c r="AF293" i="30"/>
  <c r="AF292" i="30"/>
  <c r="AF45" i="30"/>
  <c r="AI299" i="30"/>
  <c r="AI287" i="30"/>
  <c r="AI286" i="30"/>
  <c r="AI289" i="30" s="1"/>
  <c r="BA287" i="30"/>
  <c r="BA299" i="30"/>
  <c r="BA286" i="30"/>
  <c r="BA289" i="30" s="1"/>
  <c r="Y300" i="30"/>
  <c r="Y288" i="30"/>
  <c r="Q300" i="30"/>
  <c r="Q288" i="30"/>
  <c r="AL286" i="30"/>
  <c r="AL289" i="30" s="1"/>
  <c r="AL287" i="30"/>
  <c r="AL299" i="30"/>
  <c r="AE299" i="30"/>
  <c r="AE287" i="30"/>
  <c r="AE286" i="30"/>
  <c r="AE289" i="30" s="1"/>
  <c r="AW286" i="30"/>
  <c r="AW289" i="30" s="1"/>
  <c r="J246" i="30"/>
  <c r="K247" i="30"/>
  <c r="K239" i="30" s="1"/>
  <c r="K176" i="30" s="1"/>
  <c r="K177" i="30" s="1"/>
  <c r="K238" i="30"/>
  <c r="BF287" i="30"/>
  <c r="BF286" i="30"/>
  <c r="BF289" i="30" s="1"/>
  <c r="BF299" i="30"/>
  <c r="BD294" i="30"/>
  <c r="BD295" i="30"/>
  <c r="AT300" i="30"/>
  <c r="AT288" i="30"/>
  <c r="AV300" i="30"/>
  <c r="AV288" i="30"/>
  <c r="AX299" i="30"/>
  <c r="AX287" i="30"/>
  <c r="AX286" i="30"/>
  <c r="AX289" i="30" s="1"/>
  <c r="AM288" i="30"/>
  <c r="AM300" i="30"/>
  <c r="AO299" i="30"/>
  <c r="AO287" i="30"/>
  <c r="AO286" i="30"/>
  <c r="AO289" i="30" s="1"/>
  <c r="I235" i="30"/>
  <c r="J227" i="30"/>
  <c r="O300" i="30"/>
  <c r="O288" i="30"/>
  <c r="R299" i="30"/>
  <c r="R287" i="30"/>
  <c r="R286" i="30"/>
  <c r="R289" i="30" s="1"/>
  <c r="AL288" i="30"/>
  <c r="AL300" i="30"/>
  <c r="T299" i="30"/>
  <c r="T286" i="30"/>
  <c r="T289" i="30" s="1"/>
  <c r="T287" i="30"/>
  <c r="BC40" i="30"/>
  <c r="BC28" i="30" s="1"/>
  <c r="AB41" i="30"/>
  <c r="AB29" i="30" s="1"/>
  <c r="AK295" i="30"/>
  <c r="AK294" i="30"/>
  <c r="AK46" i="30"/>
  <c r="AK48" i="30" s="1"/>
  <c r="AK26" i="30" s="1"/>
  <c r="AK297" i="30" s="1"/>
  <c r="AK287" i="30"/>
  <c r="AK299" i="30"/>
  <c r="AK286" i="30"/>
  <c r="AK289" i="30" s="1"/>
  <c r="L277" i="30"/>
  <c r="M43" i="30"/>
  <c r="M31" i="30" s="1"/>
  <c r="M275" i="30"/>
  <c r="AD300" i="30"/>
  <c r="AD288" i="30"/>
  <c r="BI299" i="30"/>
  <c r="BI287" i="30"/>
  <c r="BI286" i="30"/>
  <c r="BI289" i="30" s="1"/>
  <c r="BH294" i="30"/>
  <c r="BH295" i="30"/>
  <c r="U287" i="30"/>
  <c r="U299" i="30"/>
  <c r="U286" i="30"/>
  <c r="U289" i="30" s="1"/>
  <c r="BF300" i="30"/>
  <c r="BF288" i="30"/>
  <c r="AY41" i="30"/>
  <c r="AY29" i="30" s="1"/>
  <c r="BC299" i="30"/>
  <c r="BC287" i="30"/>
  <c r="BC286" i="30"/>
  <c r="BC289" i="30" s="1"/>
  <c r="BB286" i="30"/>
  <c r="BB289" i="30" s="1"/>
  <c r="BB287" i="30"/>
  <c r="BB299" i="30"/>
  <c r="AZ300" i="30"/>
  <c r="AZ288" i="30"/>
  <c r="AB300" i="30"/>
  <c r="AB288" i="30"/>
  <c r="AW303" i="30"/>
  <c r="AW293" i="30"/>
  <c r="AW292" i="30"/>
  <c r="AW45" i="30"/>
  <c r="P292" i="30"/>
  <c r="P293" i="30"/>
  <c r="P303" i="30"/>
  <c r="P45" i="30"/>
  <c r="AN300" i="30"/>
  <c r="AN288" i="30"/>
  <c r="L243" i="30"/>
  <c r="BJ300" i="30"/>
  <c r="BJ288" i="30"/>
  <c r="AD286" i="30"/>
  <c r="AD289" i="30" s="1"/>
  <c r="AD299" i="30"/>
  <c r="AD287" i="30"/>
  <c r="AN299" i="30"/>
  <c r="AN286" i="30"/>
  <c r="AN289" i="30" s="1"/>
  <c r="AN287" i="30"/>
  <c r="AY299" i="30"/>
  <c r="AY287" i="30"/>
  <c r="AY286" i="30"/>
  <c r="AY289" i="30" s="1"/>
  <c r="AH40" i="30"/>
  <c r="AH28" i="30" s="1"/>
  <c r="B232" i="30"/>
  <c r="M232" i="30" s="1"/>
  <c r="M136" i="30" s="1"/>
  <c r="M147" i="30" s="1"/>
  <c r="N40" i="30"/>
  <c r="N28" i="30" s="1"/>
  <c r="BG299" i="30"/>
  <c r="BG287" i="30"/>
  <c r="BG286" i="30"/>
  <c r="BG289" i="30" s="1"/>
  <c r="W288" i="30"/>
  <c r="W300" i="30"/>
  <c r="AR299" i="30"/>
  <c r="AR286" i="30"/>
  <c r="AR289" i="30" s="1"/>
  <c r="AR287" i="30"/>
  <c r="BB300" i="30"/>
  <c r="BB288" i="30"/>
  <c r="T300" i="30"/>
  <c r="T288" i="30"/>
  <c r="Y299" i="30"/>
  <c r="Y287" i="30"/>
  <c r="Y286" i="30"/>
  <c r="Y289" i="30" s="1"/>
  <c r="AY288" i="30"/>
  <c r="AY300" i="30"/>
  <c r="AB299" i="30"/>
  <c r="AB286" i="30"/>
  <c r="AB289" i="30" s="1"/>
  <c r="AB287" i="30"/>
  <c r="D259" i="30" l="1"/>
  <c r="D34" i="30" s="1"/>
  <c r="E34" i="30"/>
  <c r="AE294" i="30"/>
  <c r="K183" i="30"/>
  <c r="K169" i="30" s="1"/>
  <c r="M140" i="30"/>
  <c r="M151" i="30" s="1"/>
  <c r="M75" i="32" s="1"/>
  <c r="X45" i="30"/>
  <c r="X47" i="30" s="1"/>
  <c r="K211" i="30"/>
  <c r="K219" i="30"/>
  <c r="BK221" i="30"/>
  <c r="BK222" i="30" s="1"/>
  <c r="AA295" i="30"/>
  <c r="M220" i="30"/>
  <c r="M213" i="30"/>
  <c r="L241" i="30"/>
  <c r="X293" i="30"/>
  <c r="M137" i="30"/>
  <c r="M148" i="30" s="1"/>
  <c r="N46" i="30"/>
  <c r="N48" i="30" s="1"/>
  <c r="N26" i="30" s="1"/>
  <c r="N297" i="30" s="1"/>
  <c r="X303" i="30"/>
  <c r="N294" i="30"/>
  <c r="L233" i="30"/>
  <c r="K233" i="30" s="1"/>
  <c r="AA46" i="30"/>
  <c r="AA48" i="30" s="1"/>
  <c r="AA26" i="30" s="1"/>
  <c r="AA297" i="30" s="1"/>
  <c r="K256" i="30"/>
  <c r="L140" i="30"/>
  <c r="L151" i="30" s="1"/>
  <c r="L75" i="32" s="1"/>
  <c r="L244" i="30"/>
  <c r="M138" i="30"/>
  <c r="M149" i="30" s="1"/>
  <c r="K257" i="30"/>
  <c r="L141" i="30"/>
  <c r="L152" i="30" s="1"/>
  <c r="K243" i="30"/>
  <c r="L245" i="30"/>
  <c r="M41" i="30"/>
  <c r="M29" i="30" s="1"/>
  <c r="AY293" i="30"/>
  <c r="AY303" i="30"/>
  <c r="AY292" i="30"/>
  <c r="AY45" i="30"/>
  <c r="BA303" i="30"/>
  <c r="BA293" i="30"/>
  <c r="BA292" i="30"/>
  <c r="BA45" i="30"/>
  <c r="AP303" i="30"/>
  <c r="AP292" i="30"/>
  <c r="AP293" i="30"/>
  <c r="AP45" i="30"/>
  <c r="AY294" i="30"/>
  <c r="AY295" i="30"/>
  <c r="AY46" i="30"/>
  <c r="AY48" i="30" s="1"/>
  <c r="AY26" i="30" s="1"/>
  <c r="AY297" i="30" s="1"/>
  <c r="AB294" i="30"/>
  <c r="AB295" i="30"/>
  <c r="AB46" i="30"/>
  <c r="AB48" i="30" s="1"/>
  <c r="AB26" i="30" s="1"/>
  <c r="AB297" i="30" s="1"/>
  <c r="R303" i="30"/>
  <c r="R292" i="30"/>
  <c r="R293" i="30"/>
  <c r="R45" i="30"/>
  <c r="L232" i="30"/>
  <c r="L136" i="30" s="1"/>
  <c r="L147" i="30" s="1"/>
  <c r="AR292" i="30"/>
  <c r="AR293" i="30"/>
  <c r="AR303" i="30"/>
  <c r="AR45" i="30"/>
  <c r="BJ295" i="30"/>
  <c r="BJ294" i="30"/>
  <c r="AW47" i="30"/>
  <c r="BB292" i="30"/>
  <c r="BB303" i="30"/>
  <c r="BB293" i="30"/>
  <c r="BB45" i="30"/>
  <c r="BF295" i="30"/>
  <c r="BF294" i="30"/>
  <c r="BI303" i="30"/>
  <c r="BI292" i="30"/>
  <c r="BI293" i="30"/>
  <c r="T292" i="30"/>
  <c r="T293" i="30"/>
  <c r="T303" i="30"/>
  <c r="T45" i="30"/>
  <c r="BF303" i="30"/>
  <c r="BF292" i="30"/>
  <c r="BF293" i="30"/>
  <c r="AI293" i="30"/>
  <c r="AI303" i="30"/>
  <c r="AI292" i="30"/>
  <c r="AI45" i="30"/>
  <c r="Z303" i="30"/>
  <c r="Z292" i="30"/>
  <c r="Z293" i="30"/>
  <c r="Z45" i="30"/>
  <c r="S293" i="30"/>
  <c r="S303" i="30"/>
  <c r="S292" i="30"/>
  <c r="S45" i="30"/>
  <c r="Q303" i="30"/>
  <c r="Q293" i="30"/>
  <c r="Q292" i="30"/>
  <c r="Q45" i="30"/>
  <c r="AG295" i="30"/>
  <c r="AG294" i="30"/>
  <c r="AG46" i="30"/>
  <c r="AG48" i="30" s="1"/>
  <c r="AG26" i="30" s="1"/>
  <c r="AG297" i="30" s="1"/>
  <c r="AS295" i="30"/>
  <c r="AS294" i="30"/>
  <c r="AS46" i="30"/>
  <c r="AS48" i="30" s="1"/>
  <c r="AS26" i="30" s="1"/>
  <c r="AS297" i="30" s="1"/>
  <c r="F51" i="30"/>
  <c r="F25" i="30"/>
  <c r="BA295" i="30"/>
  <c r="BA294" i="30"/>
  <c r="BA46" i="30"/>
  <c r="BA48" i="30" s="1"/>
  <c r="BA26" i="30" s="1"/>
  <c r="BA297" i="30" s="1"/>
  <c r="BC293" i="30"/>
  <c r="BC303" i="30"/>
  <c r="BC292" i="30"/>
  <c r="AT295" i="30"/>
  <c r="AT294" i="30"/>
  <c r="AT46" i="30"/>
  <c r="AT48" i="30" s="1"/>
  <c r="AT26" i="30" s="1"/>
  <c r="AT297" i="30" s="1"/>
  <c r="AU47" i="30"/>
  <c r="AD292" i="30"/>
  <c r="AD303" i="30"/>
  <c r="AD293" i="30"/>
  <c r="AD45" i="30"/>
  <c r="AL295" i="30"/>
  <c r="AL294" i="30"/>
  <c r="AL46" i="30"/>
  <c r="AL48" i="30" s="1"/>
  <c r="AL26" i="30" s="1"/>
  <c r="AL297" i="30" s="1"/>
  <c r="H235" i="30"/>
  <c r="I227" i="30"/>
  <c r="AX303" i="30"/>
  <c r="AX292" i="30"/>
  <c r="AX293" i="30"/>
  <c r="AX45" i="30"/>
  <c r="Y295" i="30"/>
  <c r="Y294" i="30"/>
  <c r="Y46" i="30"/>
  <c r="Y48" i="30" s="1"/>
  <c r="Y26" i="30" s="1"/>
  <c r="Y297" i="30" s="1"/>
  <c r="AF47" i="30"/>
  <c r="BH293" i="30"/>
  <c r="BH292" i="30"/>
  <c r="BH303" i="30"/>
  <c r="O47" i="30"/>
  <c r="BE294" i="30"/>
  <c r="BE295" i="30"/>
  <c r="BE303" i="30"/>
  <c r="BE293" i="30"/>
  <c r="BE292" i="30"/>
  <c r="H51" i="30"/>
  <c r="H25" i="30"/>
  <c r="AR294" i="30"/>
  <c r="AR295" i="30"/>
  <c r="AR46" i="30"/>
  <c r="AR48" i="30" s="1"/>
  <c r="AR26" i="30" s="1"/>
  <c r="AR297" i="30" s="1"/>
  <c r="R295" i="30"/>
  <c r="R294" i="30"/>
  <c r="R46" i="30"/>
  <c r="R48" i="30" s="1"/>
  <c r="R26" i="30" s="1"/>
  <c r="R297" i="30" s="1"/>
  <c r="AT292" i="30"/>
  <c r="AT303" i="30"/>
  <c r="AT293" i="30"/>
  <c r="AT45" i="30"/>
  <c r="AZ292" i="30"/>
  <c r="AZ293" i="30"/>
  <c r="AZ303" i="30"/>
  <c r="AZ45" i="30"/>
  <c r="AG303" i="30"/>
  <c r="AG292" i="30"/>
  <c r="AG293" i="30"/>
  <c r="AG45" i="30"/>
  <c r="N292" i="30"/>
  <c r="N303" i="30"/>
  <c r="N293" i="30"/>
  <c r="N45" i="30"/>
  <c r="AA293" i="30"/>
  <c r="AA292" i="30"/>
  <c r="AA303" i="30"/>
  <c r="AA45" i="30"/>
  <c r="BB295" i="30"/>
  <c r="BB294" i="30"/>
  <c r="BB46" i="30"/>
  <c r="BB48" i="30" s="1"/>
  <c r="BB26" i="30" s="1"/>
  <c r="BB297" i="30" s="1"/>
  <c r="AM295" i="30"/>
  <c r="AM294" i="30"/>
  <c r="AM46" i="30"/>
  <c r="AM48" i="30" s="1"/>
  <c r="AM26" i="30" s="1"/>
  <c r="AM297" i="30" s="1"/>
  <c r="L51" i="30"/>
  <c r="L25" i="30"/>
  <c r="Y303" i="30"/>
  <c r="Y293" i="30"/>
  <c r="Y292" i="30"/>
  <c r="Y45" i="30"/>
  <c r="W295" i="30"/>
  <c r="W294" i="30"/>
  <c r="W46" i="30"/>
  <c r="W48" i="30" s="1"/>
  <c r="W26" i="30" s="1"/>
  <c r="W297" i="30" s="1"/>
  <c r="U303" i="30"/>
  <c r="U293" i="30"/>
  <c r="U292" i="30"/>
  <c r="U45" i="30"/>
  <c r="AD295" i="30"/>
  <c r="AD294" i="30"/>
  <c r="AD46" i="30"/>
  <c r="AD48" i="30" s="1"/>
  <c r="AD26" i="30" s="1"/>
  <c r="AD297" i="30" s="1"/>
  <c r="AE293" i="30"/>
  <c r="AE292" i="30"/>
  <c r="AE303" i="30"/>
  <c r="AE45" i="30"/>
  <c r="AP295" i="30"/>
  <c r="AP294" i="30"/>
  <c r="AP46" i="30"/>
  <c r="AP48" i="30" s="1"/>
  <c r="AP26" i="30" s="1"/>
  <c r="AP297" i="30" s="1"/>
  <c r="AJ294" i="30"/>
  <c r="AJ295" i="30"/>
  <c r="AJ46" i="30"/>
  <c r="AJ48" i="30" s="1"/>
  <c r="AJ26" i="30" s="1"/>
  <c r="AJ297" i="30" s="1"/>
  <c r="BJ292" i="30"/>
  <c r="BJ303" i="30"/>
  <c r="BJ293" i="30"/>
  <c r="AW295" i="30"/>
  <c r="AW294" i="30"/>
  <c r="AW46" i="30"/>
  <c r="AW48" i="30" s="1"/>
  <c r="AW26" i="30" s="1"/>
  <c r="AW297" i="30" s="1"/>
  <c r="AS303" i="30"/>
  <c r="AS293" i="30"/>
  <c r="AS292" i="30"/>
  <c r="AS45" i="30"/>
  <c r="I51" i="30"/>
  <c r="I25" i="30"/>
  <c r="AC303" i="30"/>
  <c r="AC293" i="30"/>
  <c r="AC292" i="30"/>
  <c r="AC45" i="30"/>
  <c r="BC295" i="30"/>
  <c r="BC294" i="30"/>
  <c r="P50" i="30"/>
  <c r="P47" i="30"/>
  <c r="AM293" i="30"/>
  <c r="AM303" i="30"/>
  <c r="AM292" i="30"/>
  <c r="AM45" i="30"/>
  <c r="D51" i="30"/>
  <c r="D25" i="30"/>
  <c r="W293" i="30"/>
  <c r="W303" i="30"/>
  <c r="W292" i="30"/>
  <c r="W45" i="30"/>
  <c r="AH303" i="30"/>
  <c r="AH292" i="30"/>
  <c r="AH293" i="30"/>
  <c r="AH45" i="30"/>
  <c r="T294" i="30"/>
  <c r="T295" i="30"/>
  <c r="T46" i="30"/>
  <c r="T48" i="30" s="1"/>
  <c r="T26" i="30" s="1"/>
  <c r="T297" i="30" s="1"/>
  <c r="AN294" i="30"/>
  <c r="AN295" i="30"/>
  <c r="AN46" i="30"/>
  <c r="AN48" i="30" s="1"/>
  <c r="AN26" i="30" s="1"/>
  <c r="AN297" i="30" s="1"/>
  <c r="M278" i="30"/>
  <c r="M260" i="30" s="1"/>
  <c r="M36" i="30"/>
  <c r="M35" i="30" s="1"/>
  <c r="AV294" i="30"/>
  <c r="AV295" i="30"/>
  <c r="AV46" i="30"/>
  <c r="AV48" i="30" s="1"/>
  <c r="AV26" i="30" s="1"/>
  <c r="AV297" i="30" s="1"/>
  <c r="K242" i="30"/>
  <c r="K240" i="30"/>
  <c r="AL292" i="30"/>
  <c r="AL303" i="30"/>
  <c r="AL293" i="30"/>
  <c r="AL45" i="30"/>
  <c r="AU294" i="30"/>
  <c r="AU295" i="30"/>
  <c r="AU46" i="30"/>
  <c r="AU48" i="30" s="1"/>
  <c r="AU26" i="30" s="1"/>
  <c r="AU297" i="30" s="1"/>
  <c r="AO295" i="30"/>
  <c r="AO294" i="30"/>
  <c r="AO46" i="30"/>
  <c r="AO48" i="30" s="1"/>
  <c r="AO26" i="30" s="1"/>
  <c r="AO297" i="30" s="1"/>
  <c r="AC295" i="30"/>
  <c r="AC294" i="30"/>
  <c r="AC46" i="30"/>
  <c r="AC48" i="30" s="1"/>
  <c r="AC26" i="30" s="1"/>
  <c r="AC297" i="30" s="1"/>
  <c r="X294" i="30"/>
  <c r="X295" i="30"/>
  <c r="X46" i="30"/>
  <c r="X48" i="30" s="1"/>
  <c r="X26" i="30" s="1"/>
  <c r="X297" i="30" s="1"/>
  <c r="S294" i="30"/>
  <c r="S295" i="30"/>
  <c r="S46" i="30"/>
  <c r="S48" i="30" s="1"/>
  <c r="S26" i="30" s="1"/>
  <c r="S297" i="30" s="1"/>
  <c r="L262" i="30"/>
  <c r="L267" i="30" s="1"/>
  <c r="K266" i="30"/>
  <c r="L42" i="30"/>
  <c r="L30" i="30" s="1"/>
  <c r="U295" i="30"/>
  <c r="U294" i="30"/>
  <c r="U46" i="30"/>
  <c r="U48" i="30" s="1"/>
  <c r="U26" i="30" s="1"/>
  <c r="U297" i="30" s="1"/>
  <c r="AQ293" i="30"/>
  <c r="AQ303" i="30"/>
  <c r="AQ292" i="30"/>
  <c r="AQ45" i="30"/>
  <c r="BG295" i="30"/>
  <c r="BG294" i="30"/>
  <c r="AO303" i="30"/>
  <c r="AO292" i="30"/>
  <c r="AO293" i="30"/>
  <c r="AO45" i="30"/>
  <c r="V292" i="30"/>
  <c r="V303" i="30"/>
  <c r="V293" i="30"/>
  <c r="V45" i="30"/>
  <c r="AX295" i="30"/>
  <c r="AX294" i="30"/>
  <c r="AX46" i="30"/>
  <c r="AX48" i="30" s="1"/>
  <c r="AX26" i="30" s="1"/>
  <c r="AX297" i="30" s="1"/>
  <c r="I246" i="30"/>
  <c r="J247" i="30"/>
  <c r="J239" i="30" s="1"/>
  <c r="J176" i="30" s="1"/>
  <c r="J177" i="30" s="1"/>
  <c r="J238" i="30"/>
  <c r="V295" i="30"/>
  <c r="V294" i="30"/>
  <c r="V46" i="30"/>
  <c r="V48" i="30" s="1"/>
  <c r="V26" i="30" s="1"/>
  <c r="V297" i="30" s="1"/>
  <c r="M272" i="30"/>
  <c r="M234" i="30" s="1"/>
  <c r="M226" i="30" s="1"/>
  <c r="M32" i="30"/>
  <c r="M33" i="30" s="1"/>
  <c r="M250" i="30"/>
  <c r="M258" i="30" s="1"/>
  <c r="AF294" i="30"/>
  <c r="AF295" i="30"/>
  <c r="AF46" i="30"/>
  <c r="AF48" i="30" s="1"/>
  <c r="AF26" i="30" s="1"/>
  <c r="AF297" i="30" s="1"/>
  <c r="G51" i="30"/>
  <c r="G25" i="30"/>
  <c r="AJ293" i="30"/>
  <c r="AJ292" i="30"/>
  <c r="AJ303" i="30"/>
  <c r="AJ45" i="30"/>
  <c r="AI295" i="30"/>
  <c r="AI294" i="30"/>
  <c r="AI46" i="30"/>
  <c r="AI48" i="30" s="1"/>
  <c r="AI26" i="30" s="1"/>
  <c r="AI297" i="30" s="1"/>
  <c r="K51" i="30"/>
  <c r="K25" i="30"/>
  <c r="AH295" i="30"/>
  <c r="AH294" i="30"/>
  <c r="AH46" i="30"/>
  <c r="AH48" i="30" s="1"/>
  <c r="AH26" i="30" s="1"/>
  <c r="AH297" i="30" s="1"/>
  <c r="Z295" i="30"/>
  <c r="Z294" i="30"/>
  <c r="Z46" i="30"/>
  <c r="Z48" i="30" s="1"/>
  <c r="Z26" i="30" s="1"/>
  <c r="Z297" i="30" s="1"/>
  <c r="J51" i="30"/>
  <c r="J25" i="30"/>
  <c r="AB293" i="30"/>
  <c r="AB292" i="30"/>
  <c r="AB303" i="30"/>
  <c r="AB45" i="30"/>
  <c r="BG293" i="30"/>
  <c r="BG292" i="30"/>
  <c r="BG303" i="30"/>
  <c r="K277" i="30"/>
  <c r="L43" i="30"/>
  <c r="L31" i="30" s="1"/>
  <c r="L275" i="30"/>
  <c r="BI295" i="30"/>
  <c r="BI294" i="30"/>
  <c r="AN303" i="30"/>
  <c r="AN293" i="30"/>
  <c r="AN292" i="30"/>
  <c r="AN45" i="30"/>
  <c r="AZ294" i="30"/>
  <c r="AZ295" i="30"/>
  <c r="AZ46" i="30"/>
  <c r="AZ48" i="30" s="1"/>
  <c r="AZ26" i="30" s="1"/>
  <c r="AZ297" i="30" s="1"/>
  <c r="AK303" i="30"/>
  <c r="AK292" i="30"/>
  <c r="AK293" i="30"/>
  <c r="AK45" i="30"/>
  <c r="O294" i="30"/>
  <c r="O295" i="30"/>
  <c r="O46" i="30"/>
  <c r="O48" i="30" s="1"/>
  <c r="O26" i="30" s="1"/>
  <c r="O297" i="30" s="1"/>
  <c r="Q295" i="30"/>
  <c r="Q294" i="30"/>
  <c r="Q46" i="30"/>
  <c r="Q48" i="30" s="1"/>
  <c r="Q26" i="30" s="1"/>
  <c r="Q297" i="30" s="1"/>
  <c r="M51" i="30"/>
  <c r="M25" i="30"/>
  <c r="K271" i="30"/>
  <c r="L269" i="30"/>
  <c r="L39" i="30"/>
  <c r="L27" i="30" s="1"/>
  <c r="E51" i="30"/>
  <c r="E25" i="30"/>
  <c r="AQ295" i="30"/>
  <c r="AQ294" i="30"/>
  <c r="AQ46" i="30"/>
  <c r="AQ48" i="30" s="1"/>
  <c r="AQ26" i="30" s="1"/>
  <c r="AQ297" i="30" s="1"/>
  <c r="AV292" i="30"/>
  <c r="AV303" i="30"/>
  <c r="AV293" i="30"/>
  <c r="AV45" i="30"/>
  <c r="J183" i="30" l="1"/>
  <c r="M182" i="30"/>
  <c r="M190" i="30"/>
  <c r="M191" i="30" s="1"/>
  <c r="J219" i="30"/>
  <c r="M221" i="30"/>
  <c r="M222" i="30" s="1"/>
  <c r="M196" i="30"/>
  <c r="M198" i="30" s="1"/>
  <c r="M204" i="30"/>
  <c r="M205" i="30" s="1"/>
  <c r="L213" i="30"/>
  <c r="L220" i="30"/>
  <c r="K241" i="30"/>
  <c r="L137" i="30"/>
  <c r="L148" i="30" s="1"/>
  <c r="K137" i="30"/>
  <c r="K148" i="30" s="1"/>
  <c r="L41" i="30"/>
  <c r="L29" i="30" s="1"/>
  <c r="J257" i="30"/>
  <c r="K141" i="30"/>
  <c r="K152" i="30" s="1"/>
  <c r="K244" i="30"/>
  <c r="L138" i="30"/>
  <c r="L149" i="30" s="1"/>
  <c r="K245" i="30"/>
  <c r="K41" i="30" s="1"/>
  <c r="K29" i="30" s="1"/>
  <c r="L139" i="30"/>
  <c r="L150" i="30" s="1"/>
  <c r="J256" i="30"/>
  <c r="K140" i="30"/>
  <c r="K151" i="30" s="1"/>
  <c r="K75" i="32" s="1"/>
  <c r="AF50" i="30"/>
  <c r="AU50" i="30"/>
  <c r="AW50" i="30"/>
  <c r="M228" i="30"/>
  <c r="M229" i="30" s="1"/>
  <c r="M230" i="30"/>
  <c r="M231" i="30"/>
  <c r="M296" i="30"/>
  <c r="M298" i="30" s="1"/>
  <c r="M37" i="30"/>
  <c r="AK47" i="30"/>
  <c r="AK50" i="30"/>
  <c r="G296" i="30"/>
  <c r="G298" i="30" s="1"/>
  <c r="G37" i="30"/>
  <c r="AH50" i="30"/>
  <c r="AH47" i="30"/>
  <c r="D296" i="30"/>
  <c r="D298" i="30" s="1"/>
  <c r="D37" i="30"/>
  <c r="AS47" i="30"/>
  <c r="AS50" i="30"/>
  <c r="AE50" i="30"/>
  <c r="AE47" i="30"/>
  <c r="AF51" i="30"/>
  <c r="AF25" i="30"/>
  <c r="R47" i="30"/>
  <c r="R50" i="30"/>
  <c r="AO50" i="30"/>
  <c r="AO47" i="30"/>
  <c r="J277" i="30"/>
  <c r="K43" i="30"/>
  <c r="K31" i="30" s="1"/>
  <c r="K275" i="30"/>
  <c r="S47" i="30"/>
  <c r="S50" i="30"/>
  <c r="AI50" i="30"/>
  <c r="AI47" i="30"/>
  <c r="T50" i="30"/>
  <c r="T47" i="30"/>
  <c r="K296" i="30"/>
  <c r="K298" i="30" s="1"/>
  <c r="K37" i="30"/>
  <c r="V50" i="30"/>
  <c r="V47" i="30"/>
  <c r="AM50" i="30"/>
  <c r="AM47" i="30"/>
  <c r="AC47" i="30"/>
  <c r="AC50" i="30"/>
  <c r="L296" i="30"/>
  <c r="L298" i="30" s="1"/>
  <c r="L37" i="30"/>
  <c r="AA50" i="30"/>
  <c r="AA47" i="30"/>
  <c r="AG50" i="30"/>
  <c r="AG47" i="30"/>
  <c r="AT50" i="30"/>
  <c r="AT47" i="30"/>
  <c r="G235" i="30"/>
  <c r="H227" i="30"/>
  <c r="AU51" i="30"/>
  <c r="AU25" i="30"/>
  <c r="BB50" i="30"/>
  <c r="BB47" i="30"/>
  <c r="AR50" i="30"/>
  <c r="AR47" i="30"/>
  <c r="AP47" i="30"/>
  <c r="AP50" i="30"/>
  <c r="AY50" i="30"/>
  <c r="AY47" i="30"/>
  <c r="K269" i="30"/>
  <c r="J271" i="30"/>
  <c r="K39" i="30"/>
  <c r="K27" i="30" s="1"/>
  <c r="O51" i="30"/>
  <c r="O25" i="30"/>
  <c r="J233" i="30"/>
  <c r="AB50" i="30"/>
  <c r="AB47" i="30"/>
  <c r="X51" i="30"/>
  <c r="X25" i="30"/>
  <c r="AV50" i="30"/>
  <c r="AV47" i="30"/>
  <c r="AJ50" i="30"/>
  <c r="AJ47" i="30"/>
  <c r="J243" i="30"/>
  <c r="AQ50" i="30"/>
  <c r="AQ47" i="30"/>
  <c r="J266" i="30"/>
  <c r="K262" i="30"/>
  <c r="K267" i="30" s="1"/>
  <c r="K42" i="30"/>
  <c r="K30" i="30" s="1"/>
  <c r="X50" i="30"/>
  <c r="W50" i="30"/>
  <c r="W47" i="30"/>
  <c r="H296" i="30"/>
  <c r="H298" i="30" s="1"/>
  <c r="H37" i="30"/>
  <c r="O50" i="30"/>
  <c r="L272" i="30"/>
  <c r="L234" i="30" s="1"/>
  <c r="L226" i="30" s="1"/>
  <c r="L32" i="30"/>
  <c r="L33" i="30" s="1"/>
  <c r="L250" i="30"/>
  <c r="L258" i="30" s="1"/>
  <c r="AN50" i="30"/>
  <c r="AN47" i="30"/>
  <c r="E296" i="30"/>
  <c r="E298" i="30" s="1"/>
  <c r="E37" i="30"/>
  <c r="J240" i="30"/>
  <c r="J242" i="30"/>
  <c r="L278" i="30"/>
  <c r="L260" i="30" s="1"/>
  <c r="L36" i="30"/>
  <c r="L35" i="30" s="1"/>
  <c r="AL50" i="30"/>
  <c r="AL47" i="30"/>
  <c r="AX47" i="30"/>
  <c r="AX50" i="30"/>
  <c r="F296" i="30"/>
  <c r="F298" i="30" s="1"/>
  <c r="F37" i="30"/>
  <c r="Q50" i="30"/>
  <c r="Q47" i="30"/>
  <c r="Z50" i="30"/>
  <c r="Z47" i="30"/>
  <c r="P51" i="30"/>
  <c r="P25" i="30"/>
  <c r="I296" i="30"/>
  <c r="I298" i="30" s="1"/>
  <c r="I37" i="30"/>
  <c r="Y50" i="30"/>
  <c r="Y47" i="30"/>
  <c r="N50" i="30"/>
  <c r="N47" i="30"/>
  <c r="AZ50" i="30"/>
  <c r="AZ47" i="30"/>
  <c r="AD50" i="30"/>
  <c r="AD47" i="30"/>
  <c r="AW51" i="30"/>
  <c r="AW25" i="30"/>
  <c r="M40" i="30"/>
  <c r="M28" i="30" s="1"/>
  <c r="BA47" i="30"/>
  <c r="BA50" i="30"/>
  <c r="I247" i="30"/>
  <c r="I239" i="30" s="1"/>
  <c r="I176" i="30" s="1"/>
  <c r="I177" i="30" s="1"/>
  <c r="H246" i="30"/>
  <c r="I238" i="30"/>
  <c r="J296" i="30"/>
  <c r="J298" i="30" s="1"/>
  <c r="J37" i="30"/>
  <c r="U47" i="30"/>
  <c r="U50" i="30"/>
  <c r="K232" i="30"/>
  <c r="K136" i="30" s="1"/>
  <c r="K147" i="30" s="1"/>
  <c r="M184" i="30" l="1"/>
  <c r="M168" i="30"/>
  <c r="M170" i="30" s="1"/>
  <c r="M178" i="30" s="1"/>
  <c r="M179" i="30" s="1"/>
  <c r="M73" i="32" s="1"/>
  <c r="J211" i="30"/>
  <c r="J169" i="30"/>
  <c r="M192" i="30"/>
  <c r="M193" i="30" s="1"/>
  <c r="M71" i="32" s="1"/>
  <c r="M60" i="32" s="1"/>
  <c r="M46" i="32" s="1"/>
  <c r="L182" i="30"/>
  <c r="L190" i="30"/>
  <c r="L191" i="30" s="1"/>
  <c r="I219" i="30"/>
  <c r="I183" i="30"/>
  <c r="L221" i="30"/>
  <c r="L222" i="30" s="1"/>
  <c r="K213" i="30"/>
  <c r="K220" i="30"/>
  <c r="L196" i="30"/>
  <c r="L198" i="30" s="1"/>
  <c r="L204" i="30"/>
  <c r="L205" i="30" s="1"/>
  <c r="M206" i="30"/>
  <c r="M207" i="30" s="1"/>
  <c r="J241" i="30"/>
  <c r="J137" i="30"/>
  <c r="J148" i="30" s="1"/>
  <c r="I256" i="30"/>
  <c r="J140" i="30"/>
  <c r="J151" i="30" s="1"/>
  <c r="J75" i="32" s="1"/>
  <c r="J245" i="30"/>
  <c r="K139" i="30"/>
  <c r="K150" i="30" s="1"/>
  <c r="J244" i="30"/>
  <c r="K138" i="30"/>
  <c r="K149" i="30" s="1"/>
  <c r="I257" i="30"/>
  <c r="J141" i="30"/>
  <c r="J152" i="30" s="1"/>
  <c r="AV51" i="30"/>
  <c r="AV25" i="30"/>
  <c r="O296" i="30"/>
  <c r="O298" i="30" s="1"/>
  <c r="O37" i="30"/>
  <c r="G227" i="30"/>
  <c r="F235" i="30"/>
  <c r="L230" i="30"/>
  <c r="L228" i="30"/>
  <c r="L229" i="30" s="1"/>
  <c r="L231" i="30"/>
  <c r="AR51" i="30"/>
  <c r="AR25" i="30"/>
  <c r="AE51" i="30"/>
  <c r="AE25" i="30"/>
  <c r="L40" i="30"/>
  <c r="L28" i="30" s="1"/>
  <c r="G246" i="30"/>
  <c r="H238" i="30"/>
  <c r="H247" i="30"/>
  <c r="H239" i="30" s="1"/>
  <c r="H176" i="30" s="1"/>
  <c r="H177" i="30" s="1"/>
  <c r="J262" i="30"/>
  <c r="J267" i="30" s="1"/>
  <c r="I266" i="30"/>
  <c r="J42" i="30"/>
  <c r="J30" i="30" s="1"/>
  <c r="X296" i="30"/>
  <c r="X298" i="30" s="1"/>
  <c r="X37" i="30"/>
  <c r="AC51" i="30"/>
  <c r="AC25" i="30"/>
  <c r="I277" i="30"/>
  <c r="J43" i="30"/>
  <c r="J31" i="30" s="1"/>
  <c r="J275" i="30"/>
  <c r="AP51" i="30"/>
  <c r="AP25" i="30"/>
  <c r="K278" i="30"/>
  <c r="K260" i="30" s="1"/>
  <c r="K36" i="30"/>
  <c r="K35" i="30" s="1"/>
  <c r="I242" i="30"/>
  <c r="I240" i="30"/>
  <c r="AD51" i="30"/>
  <c r="AD25" i="30"/>
  <c r="AT51" i="30"/>
  <c r="AT25" i="30"/>
  <c r="T51" i="30"/>
  <c r="T25" i="30"/>
  <c r="J232" i="30"/>
  <c r="J136" i="30" s="1"/>
  <c r="J147" i="30" s="1"/>
  <c r="I243" i="30"/>
  <c r="AZ51" i="30"/>
  <c r="AZ25" i="30"/>
  <c r="P296" i="30"/>
  <c r="P298" i="30" s="1"/>
  <c r="P37" i="30"/>
  <c r="AQ51" i="30"/>
  <c r="AQ25" i="30"/>
  <c r="I271" i="30"/>
  <c r="J269" i="30"/>
  <c r="J39" i="30"/>
  <c r="J27" i="30" s="1"/>
  <c r="BB51" i="30"/>
  <c r="BB25" i="30"/>
  <c r="AG51" i="30"/>
  <c r="AG25" i="30"/>
  <c r="AM51" i="30"/>
  <c r="AM25" i="30"/>
  <c r="AI51" i="30"/>
  <c r="AI25" i="30"/>
  <c r="AO51" i="30"/>
  <c r="AO25" i="30"/>
  <c r="AX51" i="30"/>
  <c r="AX25" i="30"/>
  <c r="AB51" i="30"/>
  <c r="AB25" i="30"/>
  <c r="K272" i="30"/>
  <c r="K234" i="30" s="1"/>
  <c r="K226" i="30" s="1"/>
  <c r="K32" i="30"/>
  <c r="K33" i="30" s="1"/>
  <c r="K250" i="30"/>
  <c r="K258" i="30" s="1"/>
  <c r="AS51" i="30"/>
  <c r="AS25" i="30"/>
  <c r="AK51" i="30"/>
  <c r="AK25" i="30"/>
  <c r="U51" i="30"/>
  <c r="U25" i="30"/>
  <c r="BA51" i="30"/>
  <c r="BA25" i="30"/>
  <c r="N51" i="30"/>
  <c r="N25" i="30"/>
  <c r="Z51" i="30"/>
  <c r="Z25" i="30"/>
  <c r="AL51" i="30"/>
  <c r="AL25" i="30"/>
  <c r="AN51" i="30"/>
  <c r="AN25" i="30"/>
  <c r="W51" i="30"/>
  <c r="W25" i="30"/>
  <c r="AY51" i="30"/>
  <c r="AY25" i="30"/>
  <c r="AU296" i="30"/>
  <c r="AU298" i="30" s="1"/>
  <c r="AU37" i="30"/>
  <c r="AA51" i="30"/>
  <c r="AA25" i="30"/>
  <c r="V51" i="30"/>
  <c r="V25" i="30"/>
  <c r="AJ51" i="30"/>
  <c r="AJ25" i="30"/>
  <c r="S51" i="30"/>
  <c r="S25" i="30"/>
  <c r="R51" i="30"/>
  <c r="R25" i="30"/>
  <c r="AW296" i="30"/>
  <c r="AW298" i="30" s="1"/>
  <c r="AW37" i="30"/>
  <c r="Y51" i="30"/>
  <c r="Y25" i="30"/>
  <c r="Q51" i="30"/>
  <c r="Q25" i="30"/>
  <c r="I233" i="30"/>
  <c r="J41" i="30"/>
  <c r="J29" i="30" s="1"/>
  <c r="AF296" i="30"/>
  <c r="AF298" i="30" s="1"/>
  <c r="AF37" i="30"/>
  <c r="AH51" i="30"/>
  <c r="AH25" i="30"/>
  <c r="Q2" i="3" l="1"/>
  <c r="M53" i="32"/>
  <c r="I211" i="30"/>
  <c r="I169" i="30"/>
  <c r="L184" i="30"/>
  <c r="L192" i="30" s="1"/>
  <c r="L193" i="30" s="1"/>
  <c r="L71" i="32" s="1"/>
  <c r="L60" i="32" s="1"/>
  <c r="L46" i="32" s="1"/>
  <c r="L168" i="30"/>
  <c r="L170" i="30" s="1"/>
  <c r="L178" i="30" s="1"/>
  <c r="L179" i="30" s="1"/>
  <c r="L73" i="32" s="1"/>
  <c r="H183" i="30"/>
  <c r="H169" i="30" s="1"/>
  <c r="K190" i="30"/>
  <c r="K191" i="30" s="1"/>
  <c r="K182" i="30"/>
  <c r="L206" i="30"/>
  <c r="L207" i="30" s="1"/>
  <c r="H211" i="30"/>
  <c r="H219" i="30"/>
  <c r="K221" i="30"/>
  <c r="K222" i="30" s="1"/>
  <c r="J213" i="30"/>
  <c r="J220" i="30"/>
  <c r="K204" i="30"/>
  <c r="K205" i="30" s="1"/>
  <c r="K196" i="30"/>
  <c r="K198" i="30" s="1"/>
  <c r="I241" i="30"/>
  <c r="I137" i="30"/>
  <c r="I148" i="30" s="1"/>
  <c r="H257" i="30"/>
  <c r="I141" i="30"/>
  <c r="I152" i="30" s="1"/>
  <c r="I244" i="30"/>
  <c r="J138" i="30"/>
  <c r="J149" i="30" s="1"/>
  <c r="I245" i="30"/>
  <c r="I41" i="30" s="1"/>
  <c r="I29" i="30" s="1"/>
  <c r="J139" i="30"/>
  <c r="J150" i="30" s="1"/>
  <c r="H256" i="30"/>
  <c r="I140" i="30"/>
  <c r="I151" i="30" s="1"/>
  <c r="I75" i="32" s="1"/>
  <c r="Y296" i="30"/>
  <c r="Y298" i="30" s="1"/>
  <c r="Y37" i="30"/>
  <c r="Z296" i="30"/>
  <c r="Z298" i="30" s="1"/>
  <c r="Z37" i="30"/>
  <c r="AQ296" i="30"/>
  <c r="AQ298" i="30" s="1"/>
  <c r="AQ37" i="30"/>
  <c r="I232" i="30"/>
  <c r="I136" i="30" s="1"/>
  <c r="I147" i="30" s="1"/>
  <c r="AC296" i="30"/>
  <c r="AC298" i="30" s="1"/>
  <c r="AC37" i="30"/>
  <c r="AX296" i="30"/>
  <c r="AX298" i="30" s="1"/>
  <c r="AX37" i="30"/>
  <c r="AG296" i="30"/>
  <c r="AG298" i="30" s="1"/>
  <c r="AG37" i="30"/>
  <c r="T296" i="30"/>
  <c r="T298" i="30" s="1"/>
  <c r="T37" i="30"/>
  <c r="H240" i="30"/>
  <c r="H242" i="30"/>
  <c r="AO296" i="30"/>
  <c r="AO298" i="30" s="1"/>
  <c r="AO37" i="30"/>
  <c r="BB296" i="30"/>
  <c r="BB298" i="30" s="1"/>
  <c r="BB37" i="30"/>
  <c r="AT296" i="30"/>
  <c r="AT298" i="30" s="1"/>
  <c r="AT37" i="30"/>
  <c r="AP296" i="30"/>
  <c r="AP298" i="30" s="1"/>
  <c r="AP37" i="30"/>
  <c r="E235" i="30"/>
  <c r="F227" i="30"/>
  <c r="W296" i="30"/>
  <c r="W298" i="30" s="1"/>
  <c r="W37" i="30"/>
  <c r="AS296" i="30"/>
  <c r="AS298" i="30" s="1"/>
  <c r="AS37" i="30"/>
  <c r="G247" i="30"/>
  <c r="G239" i="30" s="1"/>
  <c r="G176" i="30" s="1"/>
  <c r="G177" i="30" s="1"/>
  <c r="G238" i="30"/>
  <c r="F246" i="30"/>
  <c r="R296" i="30"/>
  <c r="R298" i="30" s="1"/>
  <c r="R37" i="30"/>
  <c r="AA296" i="30"/>
  <c r="AA298" i="30" s="1"/>
  <c r="AA37" i="30"/>
  <c r="AN296" i="30"/>
  <c r="AN298" i="30" s="1"/>
  <c r="AN37" i="30"/>
  <c r="BA296" i="30"/>
  <c r="BA298" i="30" s="1"/>
  <c r="BA37" i="30"/>
  <c r="AZ296" i="30"/>
  <c r="AZ298" i="30" s="1"/>
  <c r="AZ37" i="30"/>
  <c r="AE296" i="30"/>
  <c r="AE298" i="30" s="1"/>
  <c r="AE37" i="30"/>
  <c r="AJ296" i="30"/>
  <c r="AJ298" i="30" s="1"/>
  <c r="AJ37" i="30"/>
  <c r="N296" i="30"/>
  <c r="N298" i="30" s="1"/>
  <c r="N37" i="30"/>
  <c r="H233" i="30"/>
  <c r="AI296" i="30"/>
  <c r="AI298" i="30" s="1"/>
  <c r="AI37" i="30"/>
  <c r="AD296" i="30"/>
  <c r="AD298" i="30" s="1"/>
  <c r="AD37" i="30"/>
  <c r="J278" i="30"/>
  <c r="J260" i="30" s="1"/>
  <c r="J36" i="30"/>
  <c r="J35" i="30" s="1"/>
  <c r="H266" i="30"/>
  <c r="I262" i="30"/>
  <c r="I267" i="30" s="1"/>
  <c r="I42" i="30"/>
  <c r="I30" i="30" s="1"/>
  <c r="AK296" i="30"/>
  <c r="AK298" i="30" s="1"/>
  <c r="AK37" i="30"/>
  <c r="V296" i="30"/>
  <c r="V298" i="30" s="1"/>
  <c r="V37" i="30"/>
  <c r="Q296" i="30"/>
  <c r="Q298" i="30" s="1"/>
  <c r="Q37" i="30"/>
  <c r="S296" i="30"/>
  <c r="S298" i="30" s="1"/>
  <c r="S37" i="30"/>
  <c r="AL296" i="30"/>
  <c r="AL298" i="30" s="1"/>
  <c r="AL37" i="30"/>
  <c r="U296" i="30"/>
  <c r="U298" i="30" s="1"/>
  <c r="U37" i="30"/>
  <c r="K230" i="30"/>
  <c r="K228" i="30"/>
  <c r="K229" i="30" s="1"/>
  <c r="K231" i="30"/>
  <c r="J272" i="30"/>
  <c r="J234" i="30" s="1"/>
  <c r="J226" i="30" s="1"/>
  <c r="J32" i="30"/>
  <c r="J33" i="30" s="1"/>
  <c r="J250" i="30"/>
  <c r="J258" i="30" s="1"/>
  <c r="AR296" i="30"/>
  <c r="AR298" i="30" s="1"/>
  <c r="AR37" i="30"/>
  <c r="AY296" i="30"/>
  <c r="AY298" i="30" s="1"/>
  <c r="AY37" i="30"/>
  <c r="AH296" i="30"/>
  <c r="AH298" i="30" s="1"/>
  <c r="AH37" i="30"/>
  <c r="AB296" i="30"/>
  <c r="AB298" i="30" s="1"/>
  <c r="AB37" i="30"/>
  <c r="AM296" i="30"/>
  <c r="AM298" i="30" s="1"/>
  <c r="AM37" i="30"/>
  <c r="H271" i="30"/>
  <c r="I269" i="30"/>
  <c r="I39" i="30"/>
  <c r="I27" i="30" s="1"/>
  <c r="K40" i="30"/>
  <c r="K28" i="30" s="1"/>
  <c r="H277" i="30"/>
  <c r="I43" i="30"/>
  <c r="I31" i="30" s="1"/>
  <c r="I275" i="30"/>
  <c r="H243" i="30"/>
  <c r="AV296" i="30"/>
  <c r="AV298" i="30" s="1"/>
  <c r="AV37" i="30"/>
  <c r="P2" i="3" l="1"/>
  <c r="L53" i="32"/>
  <c r="K184" i="30"/>
  <c r="K192" i="30" s="1"/>
  <c r="K193" i="30" s="1"/>
  <c r="K168" i="30"/>
  <c r="K170" i="30" s="1"/>
  <c r="K178" i="30" s="1"/>
  <c r="K179" i="30" s="1"/>
  <c r="K73" i="32" s="1"/>
  <c r="J190" i="30"/>
  <c r="J191" i="30" s="1"/>
  <c r="J182" i="30"/>
  <c r="G219" i="30"/>
  <c r="G183" i="30"/>
  <c r="K206" i="30"/>
  <c r="K207" i="30" s="1"/>
  <c r="I220" i="30"/>
  <c r="I213" i="30"/>
  <c r="J204" i="30"/>
  <c r="J205" i="30" s="1"/>
  <c r="J196" i="30"/>
  <c r="J198" i="30" s="1"/>
  <c r="J221" i="30"/>
  <c r="J222" i="30" s="1"/>
  <c r="H241" i="30"/>
  <c r="K71" i="32"/>
  <c r="K60" i="32" s="1"/>
  <c r="K46" i="32" s="1"/>
  <c r="H137" i="30"/>
  <c r="H148" i="30" s="1"/>
  <c r="G256" i="30"/>
  <c r="H140" i="30"/>
  <c r="H151" i="30" s="1"/>
  <c r="H75" i="32" s="1"/>
  <c r="H245" i="30"/>
  <c r="H41" i="30" s="1"/>
  <c r="H29" i="30" s="1"/>
  <c r="I139" i="30"/>
  <c r="I150" i="30" s="1"/>
  <c r="H244" i="30"/>
  <c r="I138" i="30"/>
  <c r="I149" i="30" s="1"/>
  <c r="G257" i="30"/>
  <c r="H141" i="30"/>
  <c r="H152" i="30" s="1"/>
  <c r="J228" i="30"/>
  <c r="J229" i="30" s="1"/>
  <c r="J230" i="30"/>
  <c r="J231" i="30"/>
  <c r="J40" i="30"/>
  <c r="J28" i="30" s="1"/>
  <c r="H232" i="30"/>
  <c r="H136" i="30" s="1"/>
  <c r="H147" i="30" s="1"/>
  <c r="I272" i="30"/>
  <c r="I234" i="30" s="1"/>
  <c r="I226" i="30" s="1"/>
  <c r="I32" i="30"/>
  <c r="I33" i="30" s="1"/>
  <c r="I250" i="30"/>
  <c r="I258" i="30" s="1"/>
  <c r="G266" i="30"/>
  <c r="H262" i="30"/>
  <c r="H267" i="30" s="1"/>
  <c r="H42" i="30"/>
  <c r="H30" i="30" s="1"/>
  <c r="G233" i="30"/>
  <c r="G271" i="30"/>
  <c r="H269" i="30"/>
  <c r="H39" i="30"/>
  <c r="H27" i="30" s="1"/>
  <c r="I278" i="30"/>
  <c r="I260" i="30" s="1"/>
  <c r="I36" i="30"/>
  <c r="I35" i="30" s="1"/>
  <c r="F247" i="30"/>
  <c r="F239" i="30" s="1"/>
  <c r="F176" i="30" s="1"/>
  <c r="F177" i="30" s="1"/>
  <c r="E246" i="30"/>
  <c r="F238" i="30"/>
  <c r="D235" i="30"/>
  <c r="D227" i="30" s="1"/>
  <c r="E227" i="30"/>
  <c r="G240" i="30"/>
  <c r="G242" i="30"/>
  <c r="G277" i="30"/>
  <c r="H43" i="30"/>
  <c r="H31" i="30" s="1"/>
  <c r="H275" i="30"/>
  <c r="G243" i="30"/>
  <c r="O2" i="3" l="1"/>
  <c r="K53" i="32"/>
  <c r="G211" i="30"/>
  <c r="G169" i="30"/>
  <c r="E176" i="30"/>
  <c r="E177" i="30" s="1"/>
  <c r="J184" i="30"/>
  <c r="J192" i="30" s="1"/>
  <c r="J193" i="30" s="1"/>
  <c r="J71" i="32" s="1"/>
  <c r="J60" i="32" s="1"/>
  <c r="J46" i="32" s="1"/>
  <c r="J168" i="30"/>
  <c r="J170" i="30" s="1"/>
  <c r="J178" i="30" s="1"/>
  <c r="J179" i="30" s="1"/>
  <c r="J73" i="32" s="1"/>
  <c r="I190" i="30"/>
  <c r="I191" i="30" s="1"/>
  <c r="I182" i="30"/>
  <c r="F219" i="30"/>
  <c r="F183" i="30"/>
  <c r="F169" i="30" s="1"/>
  <c r="J206" i="30"/>
  <c r="J207" i="30" s="1"/>
  <c r="I221" i="30"/>
  <c r="I222" i="30" s="1"/>
  <c r="I204" i="30"/>
  <c r="I205" i="30" s="1"/>
  <c r="I196" i="30"/>
  <c r="I198" i="30" s="1"/>
  <c r="I206" i="30" s="1"/>
  <c r="I207" i="30" s="1"/>
  <c r="H220" i="30"/>
  <c r="H213" i="30"/>
  <c r="G241" i="30"/>
  <c r="I40" i="30"/>
  <c r="I28" i="30" s="1"/>
  <c r="G137" i="30"/>
  <c r="G148" i="30" s="1"/>
  <c r="G244" i="30"/>
  <c r="H138" i="30"/>
  <c r="H149" i="30" s="1"/>
  <c r="G245" i="30"/>
  <c r="G41" i="30" s="1"/>
  <c r="G29" i="30" s="1"/>
  <c r="H139" i="30"/>
  <c r="H150" i="30" s="1"/>
  <c r="F257" i="30"/>
  <c r="G141" i="30"/>
  <c r="G152" i="30" s="1"/>
  <c r="F256" i="30"/>
  <c r="G140" i="30"/>
  <c r="G151" i="30" s="1"/>
  <c r="G75" i="32" s="1"/>
  <c r="F271" i="30"/>
  <c r="G269" i="30"/>
  <c r="G39" i="30"/>
  <c r="G27" i="30" s="1"/>
  <c r="F266" i="30"/>
  <c r="G262" i="30"/>
  <c r="G267" i="30" s="1"/>
  <c r="G42" i="30"/>
  <c r="G30" i="30" s="1"/>
  <c r="D246" i="30"/>
  <c r="E247" i="30"/>
  <c r="E239" i="30" s="1"/>
  <c r="E238" i="30"/>
  <c r="I230" i="30"/>
  <c r="I228" i="30"/>
  <c r="I229" i="30" s="1"/>
  <c r="I231" i="30"/>
  <c r="F277" i="30"/>
  <c r="G43" i="30"/>
  <c r="G31" i="30" s="1"/>
  <c r="G275" i="30"/>
  <c r="F233" i="30"/>
  <c r="H272" i="30"/>
  <c r="H234" i="30" s="1"/>
  <c r="H226" i="30" s="1"/>
  <c r="H32" i="30"/>
  <c r="H33" i="30" s="1"/>
  <c r="H250" i="30"/>
  <c r="H258" i="30" s="1"/>
  <c r="H278" i="30"/>
  <c r="H260" i="30" s="1"/>
  <c r="H36" i="30"/>
  <c r="H35" i="30" s="1"/>
  <c r="F240" i="30"/>
  <c r="F242" i="30"/>
  <c r="F243" i="30"/>
  <c r="G232" i="30"/>
  <c r="G136" i="30" s="1"/>
  <c r="G147" i="30" s="1"/>
  <c r="N2" i="3" l="1"/>
  <c r="J53" i="32"/>
  <c r="I184" i="30"/>
  <c r="I192" i="30" s="1"/>
  <c r="I193" i="30" s="1"/>
  <c r="I71" i="32" s="1"/>
  <c r="I60" i="32" s="1"/>
  <c r="I46" i="32" s="1"/>
  <c r="I168" i="30"/>
  <c r="I170" i="30" s="1"/>
  <c r="I178" i="30" s="1"/>
  <c r="I179" i="30" s="1"/>
  <c r="I73" i="32" s="1"/>
  <c r="F211" i="30"/>
  <c r="H190" i="30"/>
  <c r="H191" i="30" s="1"/>
  <c r="H182" i="30"/>
  <c r="E183" i="30"/>
  <c r="E169" i="30" s="1"/>
  <c r="H221" i="30"/>
  <c r="H222" i="30" s="1"/>
  <c r="E211" i="30"/>
  <c r="E219" i="30"/>
  <c r="G213" i="30"/>
  <c r="G220" i="30"/>
  <c r="H196" i="30"/>
  <c r="H198" i="30" s="1"/>
  <c r="H204" i="30"/>
  <c r="H205" i="30" s="1"/>
  <c r="F241" i="30"/>
  <c r="F137" i="30"/>
  <c r="F148" i="30" s="1"/>
  <c r="H40" i="30"/>
  <c r="H28" i="30" s="1"/>
  <c r="F245" i="30"/>
  <c r="F41" i="30" s="1"/>
  <c r="F29" i="30" s="1"/>
  <c r="G139" i="30"/>
  <c r="G150" i="30" s="1"/>
  <c r="E256" i="30"/>
  <c r="F140" i="30"/>
  <c r="F151" i="30" s="1"/>
  <c r="F75" i="32" s="1"/>
  <c r="E257" i="30"/>
  <c r="F141" i="30"/>
  <c r="F152" i="30" s="1"/>
  <c r="F244" i="30"/>
  <c r="G138" i="30"/>
  <c r="G149" i="30" s="1"/>
  <c r="E243" i="30"/>
  <c r="E277" i="30"/>
  <c r="F43" i="30"/>
  <c r="F31" i="30" s="1"/>
  <c r="F275" i="30"/>
  <c r="D247" i="30"/>
  <c r="D239" i="30" s="1"/>
  <c r="D176" i="30" s="1"/>
  <c r="D177" i="30" s="1"/>
  <c r="D238" i="30"/>
  <c r="D183" i="30" s="1"/>
  <c r="D169" i="30" s="1"/>
  <c r="F232" i="30"/>
  <c r="F136" i="30" s="1"/>
  <c r="F147" i="30" s="1"/>
  <c r="H228" i="30"/>
  <c r="H229" i="30" s="1"/>
  <c r="H230" i="30"/>
  <c r="H231" i="30"/>
  <c r="E266" i="30"/>
  <c r="F262" i="30"/>
  <c r="F267" i="30" s="1"/>
  <c r="F42" i="30"/>
  <c r="F30" i="30" s="1"/>
  <c r="E233" i="30"/>
  <c r="G278" i="30"/>
  <c r="G260" i="30" s="1"/>
  <c r="G36" i="30"/>
  <c r="G35" i="30" s="1"/>
  <c r="G272" i="30"/>
  <c r="G234" i="30" s="1"/>
  <c r="G226" i="30" s="1"/>
  <c r="G32" i="30"/>
  <c r="G33" i="30" s="1"/>
  <c r="G250" i="30"/>
  <c r="G258" i="30" s="1"/>
  <c r="E242" i="30"/>
  <c r="E240" i="30"/>
  <c r="E271" i="30"/>
  <c r="F269" i="30"/>
  <c r="F39" i="30"/>
  <c r="F27" i="30" s="1"/>
  <c r="M2" i="3" l="1"/>
  <c r="I53" i="32"/>
  <c r="H184" i="30"/>
  <c r="H192" i="30" s="1"/>
  <c r="H193" i="30" s="1"/>
  <c r="H71" i="32" s="1"/>
  <c r="H60" i="32" s="1"/>
  <c r="H46" i="32" s="1"/>
  <c r="H168" i="30"/>
  <c r="H170" i="30" s="1"/>
  <c r="H178" i="30" s="1"/>
  <c r="H179" i="30" s="1"/>
  <c r="H73" i="32" s="1"/>
  <c r="G190" i="30"/>
  <c r="G191" i="30" s="1"/>
  <c r="G182" i="30"/>
  <c r="D219" i="30"/>
  <c r="D220" i="30" s="1"/>
  <c r="D211" i="30"/>
  <c r="D213" i="30" s="1"/>
  <c r="D221" i="30" s="1"/>
  <c r="D222" i="30" s="1"/>
  <c r="G221" i="30"/>
  <c r="G222" i="30" s="1"/>
  <c r="G196" i="30"/>
  <c r="G198" i="30" s="1"/>
  <c r="G204" i="30"/>
  <c r="G205" i="30" s="1"/>
  <c r="F220" i="30"/>
  <c r="F213" i="30"/>
  <c r="H206" i="30"/>
  <c r="H207" i="30" s="1"/>
  <c r="E241" i="30"/>
  <c r="G40" i="30"/>
  <c r="G28" i="30" s="1"/>
  <c r="E137" i="30"/>
  <c r="E148" i="30" s="1"/>
  <c r="D257" i="30"/>
  <c r="D141" i="30" s="1"/>
  <c r="D152" i="30" s="1"/>
  <c r="E141" i="30"/>
  <c r="E152" i="30" s="1"/>
  <c r="E244" i="30"/>
  <c r="F138" i="30"/>
  <c r="F149" i="30" s="1"/>
  <c r="D256" i="30"/>
  <c r="D140" i="30" s="1"/>
  <c r="D151" i="30" s="1"/>
  <c r="D75" i="32" s="1"/>
  <c r="E140" i="30"/>
  <c r="E151" i="30" s="1"/>
  <c r="E75" i="32" s="1"/>
  <c r="E245" i="30"/>
  <c r="E41" i="30" s="1"/>
  <c r="E29" i="30" s="1"/>
  <c r="F139" i="30"/>
  <c r="F150" i="30" s="1"/>
  <c r="D271" i="30"/>
  <c r="E269" i="30"/>
  <c r="E39" i="30"/>
  <c r="E27" i="30" s="1"/>
  <c r="D233" i="30"/>
  <c r="E232" i="30"/>
  <c r="E136" i="30" s="1"/>
  <c r="E147" i="30" s="1"/>
  <c r="D240" i="30"/>
  <c r="D241" i="30" s="1"/>
  <c r="D242" i="30"/>
  <c r="E262" i="30"/>
  <c r="E267" i="30" s="1"/>
  <c r="D266" i="30"/>
  <c r="E42" i="30"/>
  <c r="E30" i="30" s="1"/>
  <c r="D243" i="30"/>
  <c r="G228" i="30"/>
  <c r="G229" i="30" s="1"/>
  <c r="G230" i="30"/>
  <c r="G231" i="30"/>
  <c r="F278" i="30"/>
  <c r="F260" i="30" s="1"/>
  <c r="F36" i="30"/>
  <c r="F35" i="30" s="1"/>
  <c r="F272" i="30"/>
  <c r="F234" i="30" s="1"/>
  <c r="F226" i="30" s="1"/>
  <c r="F32" i="30"/>
  <c r="F33" i="30" s="1"/>
  <c r="F250" i="30"/>
  <c r="F258" i="30" s="1"/>
  <c r="D277" i="30"/>
  <c r="E43" i="30"/>
  <c r="E31" i="30" s="1"/>
  <c r="E275" i="30"/>
  <c r="L2" i="3" l="1"/>
  <c r="H53" i="32"/>
  <c r="G184" i="30"/>
  <c r="G192" i="30" s="1"/>
  <c r="G193" i="30" s="1"/>
  <c r="G71" i="32" s="1"/>
  <c r="G60" i="32" s="1"/>
  <c r="G46" i="32" s="1"/>
  <c r="G168" i="30"/>
  <c r="G170" i="30" s="1"/>
  <c r="G178" i="30" s="1"/>
  <c r="G179" i="30" s="1"/>
  <c r="G73" i="32" s="1"/>
  <c r="F182" i="30"/>
  <c r="F190" i="30"/>
  <c r="F191" i="30" s="1"/>
  <c r="F221" i="30"/>
  <c r="F222" i="30" s="1"/>
  <c r="G206" i="30"/>
  <c r="G207" i="30" s="1"/>
  <c r="E220" i="30"/>
  <c r="E213" i="30"/>
  <c r="F40" i="30"/>
  <c r="F28" i="30" s="1"/>
  <c r="F196" i="30"/>
  <c r="F198" i="30" s="1"/>
  <c r="F204" i="30"/>
  <c r="F205" i="30" s="1"/>
  <c r="D244" i="30"/>
  <c r="D138" i="30" s="1"/>
  <c r="D149" i="30" s="1"/>
  <c r="E138" i="30"/>
  <c r="E149" i="30" s="1"/>
  <c r="D245" i="30"/>
  <c r="D139" i="30" s="1"/>
  <c r="D150" i="30" s="1"/>
  <c r="E139" i="30"/>
  <c r="E150" i="30" s="1"/>
  <c r="D137" i="30"/>
  <c r="D148" i="30" s="1"/>
  <c r="E278" i="30"/>
  <c r="E260" i="30" s="1"/>
  <c r="E36" i="30"/>
  <c r="E35" i="30" s="1"/>
  <c r="D43" i="30"/>
  <c r="D31" i="30" s="1"/>
  <c r="D275" i="30"/>
  <c r="D232" i="30"/>
  <c r="D136" i="30" s="1"/>
  <c r="D147" i="30" s="1"/>
  <c r="F230" i="30"/>
  <c r="F228" i="30"/>
  <c r="F229" i="30" s="1"/>
  <c r="F231" i="30"/>
  <c r="D262" i="30"/>
  <c r="D267" i="30" s="1"/>
  <c r="D42" i="30"/>
  <c r="D30" i="30" s="1"/>
  <c r="E272" i="30"/>
  <c r="E234" i="30" s="1"/>
  <c r="E226" i="30" s="1"/>
  <c r="E32" i="30"/>
  <c r="E33" i="30" s="1"/>
  <c r="E250" i="30"/>
  <c r="E258" i="30" s="1"/>
  <c r="D269" i="30"/>
  <c r="D39" i="30"/>
  <c r="D27" i="30" s="1"/>
  <c r="K2" i="3" l="1"/>
  <c r="G53" i="32"/>
  <c r="F184" i="30"/>
  <c r="F192" i="30" s="1"/>
  <c r="F193" i="30" s="1"/>
  <c r="F71" i="32" s="1"/>
  <c r="F60" i="32" s="1"/>
  <c r="F46" i="32" s="1"/>
  <c r="F168" i="30"/>
  <c r="F170" i="30" s="1"/>
  <c r="F178" i="30" s="1"/>
  <c r="F179" i="30" s="1"/>
  <c r="F73" i="32" s="1"/>
  <c r="E182" i="30"/>
  <c r="E190" i="30"/>
  <c r="E191" i="30" s="1"/>
  <c r="E221" i="30"/>
  <c r="E222" i="30" s="1"/>
  <c r="F206" i="30"/>
  <c r="F207" i="30" s="1"/>
  <c r="E196" i="30"/>
  <c r="E198" i="30" s="1"/>
  <c r="E206" i="30" s="1"/>
  <c r="E207" i="30" s="1"/>
  <c r="E204" i="30"/>
  <c r="E205" i="30" s="1"/>
  <c r="E40" i="30"/>
  <c r="E28" i="30" s="1"/>
  <c r="D41" i="30"/>
  <c r="D29" i="30" s="1"/>
  <c r="D272" i="30"/>
  <c r="D234" i="30" s="1"/>
  <c r="D226" i="30" s="1"/>
  <c r="D32" i="30"/>
  <c r="D33" i="30" s="1"/>
  <c r="D250" i="30"/>
  <c r="D258" i="30" s="1"/>
  <c r="E228" i="30"/>
  <c r="E229" i="30" s="1"/>
  <c r="E230" i="30"/>
  <c r="E231" i="30"/>
  <c r="D278" i="30"/>
  <c r="D260" i="30" s="1"/>
  <c r="D36" i="30"/>
  <c r="D35" i="30" s="1"/>
  <c r="J2" i="3" l="1"/>
  <c r="F53" i="32"/>
  <c r="E184" i="30"/>
  <c r="E168" i="30"/>
  <c r="E170" i="30" s="1"/>
  <c r="E178" i="30" s="1"/>
  <c r="E179" i="30" s="1"/>
  <c r="E73" i="32" s="1"/>
  <c r="D182" i="30"/>
  <c r="D190" i="30"/>
  <c r="D191" i="30" s="1"/>
  <c r="E192" i="30"/>
  <c r="E193" i="30" s="1"/>
  <c r="D196" i="30"/>
  <c r="D198" i="30" s="1"/>
  <c r="D204" i="30"/>
  <c r="D205" i="30" s="1"/>
  <c r="D40" i="30"/>
  <c r="D28" i="30" s="1"/>
  <c r="D228" i="30"/>
  <c r="D229" i="30" s="1"/>
  <c r="D230" i="30"/>
  <c r="D231" i="30"/>
  <c r="D184" i="30" l="1"/>
  <c r="D168" i="30"/>
  <c r="D170" i="30" s="1"/>
  <c r="D178" i="30" s="1"/>
  <c r="D179" i="30" s="1"/>
  <c r="D73" i="32" s="1"/>
  <c r="D192" i="30"/>
  <c r="D193" i="30" s="1"/>
  <c r="D206" i="30"/>
  <c r="D207" i="30" s="1"/>
  <c r="E71" i="32"/>
  <c r="E60" i="32" s="1"/>
  <c r="E46" i="32" s="1"/>
  <c r="A4" i="29"/>
  <c r="I2" i="3" l="1"/>
  <c r="E53" i="32"/>
  <c r="D71" i="32"/>
  <c r="D60" i="32" s="1"/>
  <c r="D46" i="32" s="1"/>
  <c r="AF37" i="28"/>
  <c r="AG37" i="28"/>
  <c r="AH37" i="28"/>
  <c r="AI37" i="28"/>
  <c r="AJ37" i="28"/>
  <c r="AK37" i="28"/>
  <c r="AL37" i="28"/>
  <c r="AM37" i="28"/>
  <c r="AN37" i="28"/>
  <c r="AE37" i="28"/>
  <c r="AD37" i="28"/>
  <c r="AB37" i="28"/>
  <c r="AC37" i="28"/>
  <c r="W37" i="28"/>
  <c r="X37" i="28"/>
  <c r="Y37" i="28"/>
  <c r="Z37" i="28"/>
  <c r="AA37" i="28"/>
  <c r="V37" i="28"/>
  <c r="H2" i="3" l="1"/>
  <c r="D53" i="32"/>
  <c r="B5" i="9"/>
  <c r="E41" i="7"/>
  <c r="C40" i="7"/>
  <c r="D38" i="7"/>
  <c r="G36" i="7"/>
  <c r="D36" i="7"/>
  <c r="E33" i="7"/>
  <c r="D33" i="7"/>
  <c r="D32" i="7"/>
  <c r="E29" i="7"/>
  <c r="D11" i="7"/>
  <c r="I79" i="28" s="1"/>
  <c r="C12" i="7"/>
  <c r="H80" i="28" s="1"/>
  <c r="E13" i="7"/>
  <c r="J81" i="28" s="1"/>
  <c r="C14" i="7"/>
  <c r="H82" i="28" s="1"/>
  <c r="E15" i="7"/>
  <c r="J83" i="28" s="1"/>
  <c r="C16" i="7"/>
  <c r="H84" i="28" s="1"/>
  <c r="C17" i="7"/>
  <c r="H85" i="28" s="1"/>
  <c r="E17" i="7"/>
  <c r="J85" i="28" s="1"/>
  <c r="G18" i="7"/>
  <c r="L86" i="28" s="1"/>
  <c r="C19" i="7"/>
  <c r="H87" i="28" s="1"/>
  <c r="C20" i="7"/>
  <c r="H88" i="28" s="1"/>
  <c r="E20" i="7"/>
  <c r="J88" i="28" s="1"/>
  <c r="D21" i="7"/>
  <c r="I89" i="28" s="1"/>
  <c r="F21" i="7"/>
  <c r="K89" i="28" s="1"/>
  <c r="E22" i="7"/>
  <c r="J90" i="28" s="1"/>
  <c r="I22" i="7"/>
  <c r="N90" i="28" s="1"/>
  <c r="B12" i="7"/>
  <c r="G80" i="28" s="1"/>
  <c r="B14" i="7"/>
  <c r="G82" i="28" s="1"/>
  <c r="B20" i="7"/>
  <c r="G88" i="28" s="1"/>
  <c r="B22" i="7"/>
  <c r="G90" i="28" s="1"/>
  <c r="G76" i="7"/>
  <c r="G39" i="7" s="1"/>
  <c r="G75" i="7"/>
  <c r="G38" i="7" s="1"/>
  <c r="G74" i="7"/>
  <c r="G37" i="7" s="1"/>
  <c r="G73" i="7"/>
  <c r="F77" i="7"/>
  <c r="F40" i="7" s="1"/>
  <c r="F76" i="7"/>
  <c r="F39" i="7" s="1"/>
  <c r="F75" i="7"/>
  <c r="F38" i="7" s="1"/>
  <c r="E78" i="7"/>
  <c r="E77" i="7"/>
  <c r="E40" i="7" s="1"/>
  <c r="E76" i="7"/>
  <c r="E39" i="7" s="1"/>
  <c r="E75" i="7"/>
  <c r="E38" i="7" s="1"/>
  <c r="E74" i="7"/>
  <c r="E37" i="7" s="1"/>
  <c r="E73" i="7"/>
  <c r="E36" i="7" s="1"/>
  <c r="E72" i="7"/>
  <c r="E35" i="7" s="1"/>
  <c r="E71" i="7"/>
  <c r="E34" i="7" s="1"/>
  <c r="E70" i="7"/>
  <c r="E69" i="7"/>
  <c r="E32" i="7" s="1"/>
  <c r="E68" i="7"/>
  <c r="E31" i="7" s="1"/>
  <c r="E67" i="7"/>
  <c r="E30" i="7" s="1"/>
  <c r="E66" i="7"/>
  <c r="E65" i="7"/>
  <c r="E28" i="7" s="1"/>
  <c r="D75" i="7"/>
  <c r="D74" i="7"/>
  <c r="D37" i="7" s="1"/>
  <c r="D73" i="7"/>
  <c r="D72" i="7"/>
  <c r="D35" i="7" s="1"/>
  <c r="D71" i="7"/>
  <c r="D34" i="7" s="1"/>
  <c r="D70" i="7"/>
  <c r="D69" i="7"/>
  <c r="D68" i="7"/>
  <c r="D31" i="7" s="1"/>
  <c r="D67" i="7"/>
  <c r="D30" i="7" s="1"/>
  <c r="D66" i="7"/>
  <c r="D29" i="7" s="1"/>
  <c r="D65" i="7"/>
  <c r="D28" i="7" s="1"/>
  <c r="C77" i="7"/>
  <c r="C76" i="7"/>
  <c r="C39" i="7" s="1"/>
  <c r="C75" i="7"/>
  <c r="C38" i="7" s="1"/>
  <c r="C74" i="7"/>
  <c r="C37" i="7" s="1"/>
  <c r="B69" i="7"/>
  <c r="B32" i="7" s="1"/>
  <c r="C47" i="7"/>
  <c r="C10" i="7" s="1"/>
  <c r="H78" i="28" s="1"/>
  <c r="D47" i="7"/>
  <c r="D10" i="7" s="1"/>
  <c r="I78" i="28" s="1"/>
  <c r="E47" i="7"/>
  <c r="E10" i="7" s="1"/>
  <c r="J78" i="28" s="1"/>
  <c r="C48" i="7"/>
  <c r="C11" i="7" s="1"/>
  <c r="H79" i="28" s="1"/>
  <c r="D48" i="7"/>
  <c r="E48" i="7"/>
  <c r="E11" i="7" s="1"/>
  <c r="J79" i="28" s="1"/>
  <c r="C49" i="7"/>
  <c r="D49" i="7"/>
  <c r="D12" i="7" s="1"/>
  <c r="I80" i="28" s="1"/>
  <c r="E49" i="7"/>
  <c r="E12" i="7" s="1"/>
  <c r="J80" i="28" s="1"/>
  <c r="F49" i="7"/>
  <c r="F12" i="7" s="1"/>
  <c r="K80" i="28" s="1"/>
  <c r="C50" i="7"/>
  <c r="C13" i="7" s="1"/>
  <c r="H81" i="28" s="1"/>
  <c r="D50" i="7"/>
  <c r="D13" i="7" s="1"/>
  <c r="I81" i="28" s="1"/>
  <c r="E50" i="7"/>
  <c r="H50" i="7"/>
  <c r="H13" i="7" s="1"/>
  <c r="M81" i="28" s="1"/>
  <c r="C51" i="7"/>
  <c r="D51" i="7"/>
  <c r="D14" i="7" s="1"/>
  <c r="I82" i="28" s="1"/>
  <c r="E51" i="7"/>
  <c r="E14" i="7" s="1"/>
  <c r="J82" i="28" s="1"/>
  <c r="H51" i="7"/>
  <c r="H14" i="7" s="1"/>
  <c r="M82" i="28" s="1"/>
  <c r="C52" i="7"/>
  <c r="C15" i="7" s="1"/>
  <c r="H83" i="28" s="1"/>
  <c r="D52" i="7"/>
  <c r="D15" i="7" s="1"/>
  <c r="I83" i="28" s="1"/>
  <c r="E52" i="7"/>
  <c r="H52" i="7"/>
  <c r="H15" i="7" s="1"/>
  <c r="M83" i="28" s="1"/>
  <c r="C53" i="7"/>
  <c r="D53" i="7"/>
  <c r="D16" i="7" s="1"/>
  <c r="I84" i="28" s="1"/>
  <c r="E53" i="7"/>
  <c r="E16" i="7" s="1"/>
  <c r="J84" i="28" s="1"/>
  <c r="F53" i="7"/>
  <c r="F16" i="7" s="1"/>
  <c r="K84" i="28" s="1"/>
  <c r="H53" i="7"/>
  <c r="H16" i="7" s="1"/>
  <c r="M84" i="28" s="1"/>
  <c r="I53" i="7"/>
  <c r="I16" i="7" s="1"/>
  <c r="N84" i="28" s="1"/>
  <c r="C54" i="7"/>
  <c r="D54" i="7"/>
  <c r="D17" i="7" s="1"/>
  <c r="I85" i="28" s="1"/>
  <c r="E54" i="7"/>
  <c r="H54" i="7"/>
  <c r="H17" i="7" s="1"/>
  <c r="M85" i="28" s="1"/>
  <c r="C55" i="7"/>
  <c r="C18" i="7" s="1"/>
  <c r="H86" i="28" s="1"/>
  <c r="D55" i="7"/>
  <c r="D18" i="7" s="1"/>
  <c r="I86" i="28" s="1"/>
  <c r="E55" i="7"/>
  <c r="E18" i="7" s="1"/>
  <c r="J86" i="28" s="1"/>
  <c r="F55" i="7"/>
  <c r="F18" i="7" s="1"/>
  <c r="K86" i="28" s="1"/>
  <c r="G55" i="7"/>
  <c r="H55" i="7"/>
  <c r="H18" i="7" s="1"/>
  <c r="M86" i="28" s="1"/>
  <c r="C56" i="7"/>
  <c r="D56" i="7"/>
  <c r="D19" i="7" s="1"/>
  <c r="I87" i="28" s="1"/>
  <c r="E56" i="7"/>
  <c r="E19" i="7" s="1"/>
  <c r="J87" i="28" s="1"/>
  <c r="G56" i="7"/>
  <c r="G19" i="7" s="1"/>
  <c r="L87" i="28" s="1"/>
  <c r="H56" i="7"/>
  <c r="H19" i="7" s="1"/>
  <c r="M87" i="28" s="1"/>
  <c r="I56" i="7"/>
  <c r="I19" i="7" s="1"/>
  <c r="N87" i="28" s="1"/>
  <c r="C57" i="7"/>
  <c r="D57" i="7"/>
  <c r="D20" i="7" s="1"/>
  <c r="I88" i="28" s="1"/>
  <c r="E57" i="7"/>
  <c r="F57" i="7"/>
  <c r="F20" i="7" s="1"/>
  <c r="K88" i="28" s="1"/>
  <c r="G57" i="7"/>
  <c r="G20" i="7" s="1"/>
  <c r="L88" i="28" s="1"/>
  <c r="H57" i="7"/>
  <c r="H20" i="7" s="1"/>
  <c r="M88" i="28" s="1"/>
  <c r="I57" i="7"/>
  <c r="I20" i="7" s="1"/>
  <c r="N88" i="28" s="1"/>
  <c r="C58" i="7"/>
  <c r="C21" i="7" s="1"/>
  <c r="H89" i="28" s="1"/>
  <c r="D58" i="7"/>
  <c r="E58" i="7"/>
  <c r="E21" i="7" s="1"/>
  <c r="J89" i="28" s="1"/>
  <c r="F58" i="7"/>
  <c r="G58" i="7"/>
  <c r="G21" i="7" s="1"/>
  <c r="L89" i="28" s="1"/>
  <c r="H58" i="7"/>
  <c r="H21" i="7" s="1"/>
  <c r="M89" i="28" s="1"/>
  <c r="I58" i="7"/>
  <c r="I21" i="7" s="1"/>
  <c r="N89" i="28" s="1"/>
  <c r="C59" i="7"/>
  <c r="C22" i="7" s="1"/>
  <c r="H90" i="28" s="1"/>
  <c r="D59" i="7"/>
  <c r="D22" i="7" s="1"/>
  <c r="I90" i="28" s="1"/>
  <c r="E59" i="7"/>
  <c r="F59" i="7"/>
  <c r="F22" i="7" s="1"/>
  <c r="K90" i="28" s="1"/>
  <c r="I59" i="7"/>
  <c r="J59" i="7"/>
  <c r="J22" i="7" s="1"/>
  <c r="C60" i="7"/>
  <c r="C23" i="7" s="1"/>
  <c r="H91" i="28" s="1"/>
  <c r="E60" i="7"/>
  <c r="E23" i="7" s="1"/>
  <c r="J91" i="28" s="1"/>
  <c r="F60" i="7"/>
  <c r="F23" i="7" s="1"/>
  <c r="K91" i="28" s="1"/>
  <c r="B48" i="7"/>
  <c r="B11" i="7" s="1"/>
  <c r="G79" i="28" s="1"/>
  <c r="B49" i="7"/>
  <c r="B50" i="7"/>
  <c r="B13" i="7" s="1"/>
  <c r="G81" i="28" s="1"/>
  <c r="B51" i="7"/>
  <c r="B52" i="7"/>
  <c r="B15" i="7" s="1"/>
  <c r="G83" i="28" s="1"/>
  <c r="B53" i="7"/>
  <c r="B16" i="7" s="1"/>
  <c r="G84" i="28" s="1"/>
  <c r="B54" i="7"/>
  <c r="B17" i="7" s="1"/>
  <c r="G85" i="28" s="1"/>
  <c r="B55" i="7"/>
  <c r="B18" i="7" s="1"/>
  <c r="G86" i="28" s="1"/>
  <c r="B56" i="7"/>
  <c r="B19" i="7" s="1"/>
  <c r="G87" i="28" s="1"/>
  <c r="B57" i="7"/>
  <c r="B58" i="7"/>
  <c r="B21" i="7" s="1"/>
  <c r="G89" i="28" s="1"/>
  <c r="B59" i="7"/>
  <c r="B47" i="7"/>
  <c r="B10" i="7" s="1"/>
  <c r="G78" i="28" s="1"/>
  <c r="B5" i="29" l="1"/>
  <c r="B8" i="9"/>
  <c r="O53" i="28" s="1"/>
  <c r="G33" i="9"/>
  <c r="G25" i="9"/>
  <c r="G17" i="9"/>
  <c r="G9" i="9"/>
  <c r="B15" i="9"/>
  <c r="O60" i="28" s="1"/>
  <c r="B23" i="9"/>
  <c r="O68" i="28" s="1"/>
  <c r="B31" i="9"/>
  <c r="O76" i="28" s="1"/>
  <c r="B39" i="9"/>
  <c r="O84" i="28" s="1"/>
  <c r="G22" i="9"/>
  <c r="B26" i="9"/>
  <c r="O71" i="28" s="1"/>
  <c r="G29" i="9"/>
  <c r="B27" i="9"/>
  <c r="O72" i="28" s="1"/>
  <c r="G28" i="9"/>
  <c r="G12" i="9"/>
  <c r="B20" i="9"/>
  <c r="O65" i="28" s="1"/>
  <c r="B22" i="9"/>
  <c r="O67" i="28" s="1"/>
  <c r="G40" i="9"/>
  <c r="G32" i="9"/>
  <c r="G24" i="9"/>
  <c r="G16" i="9"/>
  <c r="G8" i="9"/>
  <c r="B16" i="9"/>
  <c r="O61" i="28" s="1"/>
  <c r="B24" i="9"/>
  <c r="O69" i="28" s="1"/>
  <c r="B32" i="9"/>
  <c r="O77" i="28" s="1"/>
  <c r="B40" i="9"/>
  <c r="O85" i="28" s="1"/>
  <c r="G38" i="9"/>
  <c r="B10" i="9"/>
  <c r="O55" i="28" s="1"/>
  <c r="B34" i="9"/>
  <c r="O79" i="28" s="1"/>
  <c r="B11" i="9"/>
  <c r="O56" i="28" s="1"/>
  <c r="G20" i="9"/>
  <c r="B28" i="9"/>
  <c r="O73" i="28" s="1"/>
  <c r="B36" i="9"/>
  <c r="O81" i="28" s="1"/>
  <c r="B14" i="9"/>
  <c r="O59" i="28" s="1"/>
  <c r="G39" i="9"/>
  <c r="G31" i="9"/>
  <c r="G23" i="9"/>
  <c r="G15" i="9"/>
  <c r="B9" i="9"/>
  <c r="O54" i="28" s="1"/>
  <c r="B17" i="9"/>
  <c r="O62" i="28" s="1"/>
  <c r="B25" i="9"/>
  <c r="O70" i="28" s="1"/>
  <c r="B33" i="9"/>
  <c r="O78" i="28" s="1"/>
  <c r="G30" i="9"/>
  <c r="G14" i="9"/>
  <c r="B18" i="9"/>
  <c r="O63" i="28" s="1"/>
  <c r="G37" i="9"/>
  <c r="G21" i="9"/>
  <c r="G13" i="9"/>
  <c r="B19" i="9"/>
  <c r="O64" i="28" s="1"/>
  <c r="B12" i="9"/>
  <c r="O57" i="28" s="1"/>
  <c r="G10" i="9"/>
  <c r="B38" i="9"/>
  <c r="O83" i="28" s="1"/>
  <c r="B35" i="9"/>
  <c r="O80" i="28" s="1"/>
  <c r="G36" i="9"/>
  <c r="G35" i="9"/>
  <c r="G27" i="9"/>
  <c r="G19" i="9"/>
  <c r="G11" i="9"/>
  <c r="B13" i="9"/>
  <c r="O58" i="28" s="1"/>
  <c r="B21" i="9"/>
  <c r="O66" i="28" s="1"/>
  <c r="B29" i="9"/>
  <c r="O74" i="28" s="1"/>
  <c r="B37" i="9"/>
  <c r="O82" i="28" s="1"/>
  <c r="G34" i="9"/>
  <c r="G26" i="9"/>
  <c r="G18" i="9"/>
  <c r="B30" i="9"/>
  <c r="O75" i="28" s="1"/>
  <c r="E17" i="29" l="1"/>
  <c r="J31" i="29"/>
  <c r="J42" i="29"/>
  <c r="J47" i="29"/>
  <c r="J58" i="29"/>
  <c r="J63" i="29"/>
  <c r="J74" i="29"/>
  <c r="J79" i="29"/>
  <c r="J50" i="29"/>
  <c r="J66" i="29"/>
  <c r="J71" i="29"/>
  <c r="J82" i="29"/>
  <c r="J30" i="29"/>
  <c r="J46" i="29"/>
  <c r="J39" i="29"/>
  <c r="J55" i="29"/>
  <c r="J67" i="29"/>
  <c r="J78" i="29"/>
  <c r="J38" i="29"/>
  <c r="J43" i="29"/>
  <c r="J54" i="29"/>
  <c r="J59" i="29"/>
  <c r="J70" i="29"/>
  <c r="J75" i="29"/>
  <c r="J34" i="29"/>
  <c r="J35" i="29"/>
  <c r="J51" i="29"/>
  <c r="J62" i="29"/>
  <c r="J73" i="29"/>
  <c r="J65" i="29"/>
  <c r="J48" i="29"/>
  <c r="J52" i="29"/>
  <c r="J69" i="29"/>
  <c r="J37" i="29"/>
  <c r="J64" i="29"/>
  <c r="J72" i="29"/>
  <c r="J49" i="29"/>
  <c r="J32" i="29"/>
  <c r="J36" i="29"/>
  <c r="J61" i="29"/>
  <c r="J44" i="29"/>
  <c r="J81" i="29"/>
  <c r="J77" i="29"/>
  <c r="J33" i="29"/>
  <c r="J57" i="29"/>
  <c r="J76" i="29"/>
  <c r="J60" i="29"/>
  <c r="J68" i="29"/>
  <c r="J45" i="29"/>
  <c r="J41" i="29"/>
  <c r="J56" i="29"/>
  <c r="J40" i="29"/>
  <c r="J53" i="29"/>
  <c r="J80" i="29"/>
  <c r="E23" i="29"/>
  <c r="E55" i="29"/>
  <c r="C69" i="28" s="1"/>
  <c r="E80" i="29"/>
  <c r="C94" i="28" s="1"/>
  <c r="E72" i="29"/>
  <c r="C86" i="28" s="1"/>
  <c r="E24" i="29"/>
  <c r="C38" i="28" s="1"/>
  <c r="E56" i="29"/>
  <c r="C70" i="28" s="1"/>
  <c r="E39" i="29"/>
  <c r="C53" i="28" s="1"/>
  <c r="E40" i="29"/>
  <c r="C54" i="28" s="1"/>
  <c r="E31" i="29"/>
  <c r="C45" i="28" s="1"/>
  <c r="E63" i="29"/>
  <c r="C77" i="28" s="1"/>
  <c r="E32" i="29"/>
  <c r="C46" i="28" s="1"/>
  <c r="E64" i="29"/>
  <c r="C78" i="28" s="1"/>
  <c r="E15" i="29"/>
  <c r="E47" i="29"/>
  <c r="C61" i="28" s="1"/>
  <c r="E78" i="29"/>
  <c r="C92" i="28" s="1"/>
  <c r="E16" i="29"/>
  <c r="E48" i="29"/>
  <c r="C62" i="28" s="1"/>
  <c r="E79" i="29"/>
  <c r="C93" i="28" s="1"/>
  <c r="E71" i="29"/>
  <c r="C85" i="28" s="1"/>
  <c r="E67" i="29"/>
  <c r="C81" i="28" s="1"/>
  <c r="E46" i="29"/>
  <c r="C60" i="28" s="1"/>
  <c r="E28" i="29"/>
  <c r="C42" i="28" s="1"/>
  <c r="E26" i="29"/>
  <c r="C40" i="28" s="1"/>
  <c r="E61" i="29"/>
  <c r="C75" i="28" s="1"/>
  <c r="E65" i="29"/>
  <c r="C79" i="28" s="1"/>
  <c r="E37" i="29"/>
  <c r="C51" i="28" s="1"/>
  <c r="E33" i="29"/>
  <c r="C47" i="28" s="1"/>
  <c r="E21" i="29"/>
  <c r="E25" i="29"/>
  <c r="C39" i="28" s="1"/>
  <c r="E59" i="29"/>
  <c r="C73" i="28" s="1"/>
  <c r="E14" i="29"/>
  <c r="E82" i="29"/>
  <c r="C96" i="28" s="1"/>
  <c r="E18" i="29"/>
  <c r="E45" i="29"/>
  <c r="C59" i="28" s="1"/>
  <c r="E57" i="29"/>
  <c r="C71" i="28" s="1"/>
  <c r="E35" i="29"/>
  <c r="C49" i="28" s="1"/>
  <c r="E38" i="29"/>
  <c r="C52" i="28" s="1"/>
  <c r="E27" i="29"/>
  <c r="C41" i="28" s="1"/>
  <c r="E36" i="29"/>
  <c r="C50" i="28" s="1"/>
  <c r="E51" i="29"/>
  <c r="C65" i="28" s="1"/>
  <c r="E69" i="29"/>
  <c r="C83" i="28" s="1"/>
  <c r="E74" i="29"/>
  <c r="C88" i="28" s="1"/>
  <c r="E70" i="29"/>
  <c r="C84" i="28" s="1"/>
  <c r="E29" i="29"/>
  <c r="C43" i="28" s="1"/>
  <c r="E49" i="29"/>
  <c r="C63" i="28" s="1"/>
  <c r="E52" i="29"/>
  <c r="C66" i="28" s="1"/>
  <c r="E60" i="29"/>
  <c r="C74" i="28" s="1"/>
  <c r="E20" i="29"/>
  <c r="E30" i="29"/>
  <c r="C44" i="28" s="1"/>
  <c r="E43" i="29"/>
  <c r="C57" i="28" s="1"/>
  <c r="E53" i="29"/>
  <c r="C67" i="28" s="1"/>
  <c r="E66" i="29"/>
  <c r="C80" i="28" s="1"/>
  <c r="E54" i="29"/>
  <c r="C68" i="28" s="1"/>
  <c r="E76" i="29"/>
  <c r="C90" i="28" s="1"/>
  <c r="E41" i="29"/>
  <c r="C55" i="28" s="1"/>
  <c r="E58" i="29"/>
  <c r="C72" i="28" s="1"/>
  <c r="E50" i="29"/>
  <c r="C64" i="28" s="1"/>
  <c r="E13" i="29"/>
  <c r="E19" i="29"/>
  <c r="E68" i="29"/>
  <c r="C82" i="28" s="1"/>
  <c r="E42" i="29"/>
  <c r="C56" i="28" s="1"/>
  <c r="E22" i="29"/>
  <c r="E81" i="29"/>
  <c r="C95" i="28" s="1"/>
  <c r="E75" i="29"/>
  <c r="C89" i="28" s="1"/>
  <c r="E62" i="29"/>
  <c r="C76" i="28" s="1"/>
  <c r="E44" i="29"/>
  <c r="C58" i="28" s="1"/>
  <c r="E34" i="29"/>
  <c r="C48" i="28" s="1"/>
  <c r="E77" i="29"/>
  <c r="C91" i="28" s="1"/>
  <c r="E73" i="29"/>
  <c r="C87" i="28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 satisfied Microsoft Office user</author>
  </authors>
  <commentList>
    <comment ref="BB107" authorId="0" shapeId="0" xr:uid="{00000000-0006-0000-0500-000002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  <comment ref="BB108" authorId="0" shapeId="0" xr:uid="{00000000-0006-0000-0500-000003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  <comment ref="BB113" authorId="0" shapeId="0" xr:uid="{00000000-0006-0000-0500-000004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  <comment ref="BB114" authorId="0" shapeId="0" xr:uid="{00000000-0006-0000-0500-000005000000}">
      <text>
        <r>
          <rPr>
            <b/>
            <sz val="15"/>
            <color indexed="56"/>
            <rFont val="Calibri"/>
            <family val="2"/>
          </rPr>
          <t xml:space="preserve">..  Values Not Available
</t>
        </r>
      </text>
    </comment>
  </commentList>
</comments>
</file>

<file path=xl/sharedStrings.xml><?xml version="1.0" encoding="utf-8"?>
<sst xmlns="http://schemas.openxmlformats.org/spreadsheetml/2006/main" count="2233" uniqueCount="688">
  <si>
    <t>Country</t>
  </si>
  <si>
    <t>Energy.type</t>
  </si>
  <si>
    <t>Last.stage</t>
  </si>
  <si>
    <t>Method</t>
  </si>
  <si>
    <t>Machine</t>
  </si>
  <si>
    <t>Eu.product</t>
  </si>
  <si>
    <t>Quantity</t>
  </si>
  <si>
    <t>Year</t>
  </si>
  <si>
    <t>Lutsey et al. 2005 Energy Efficiency, Fuel Economy, and Policy Implications</t>
  </si>
  <si>
    <t>Gohlke et al. 2018 Impacts of Electrification of Light-Duty Vehicles in the United States, 2010-2017</t>
  </si>
  <si>
    <t>https://journals.sagepub.com/doi/pdf/10.1177/0361198105194100102</t>
  </si>
  <si>
    <t>https://publications.anl.gov/anlpubs/2018/01/141595.pdf</t>
  </si>
  <si>
    <t>Sugathapala et al. 2015 FUEL ECONOMY OF LIGHT DUTY VEHICLES IN SRI LANKA</t>
  </si>
  <si>
    <t>https://aitd.net.in/pdf/AsianJournals/27-Fuel%20Efficiency%20of%20Road%20Transport.pdf#page=61</t>
  </si>
  <si>
    <t>Yang et al. 2014 Global Impact of Light-Duty and Heavy-Duty Vehicle Fuel Efficiency Standards</t>
  </si>
  <si>
    <t>Weiss et al. 2020 Energy efficiency trade-offs in small to large electric vehicles</t>
  </si>
  <si>
    <t>https://enveurope.springeropen.com/track/pdf/10.1186/s12302-020-00307-8.pdf</t>
  </si>
  <si>
    <t>An et al. 2001 Assessing the Fuel Economy Potential of Light-Duty Vehicles</t>
  </si>
  <si>
    <t>https://www.researchgate.net/profile/John-Decicco/publication/289323758_Assessing_the_Fuel_Economy_Potential_of_Light-Duty_Vehicles/links/5d41ebcea6fdcc370a713460/Assessing-the-Fuel-Economy-Potential-of-Light-Duty-Vehicles.pdf</t>
  </si>
  <si>
    <t>Berry 2010 The Effects of Driving Style and Vehicle Performance on the Real-World Fuel Consumption of U.S. Light Duty Vehicles</t>
  </si>
  <si>
    <t>EU Term 2000 - Energy Efficiency</t>
  </si>
  <si>
    <t>GFEI_IEA 2019 Fuel Economy in Major Car Markets: Technology and Policy Drivers 2005-2017</t>
  </si>
  <si>
    <t>ICCT 2012 Mexico Light-duty Vehicle CO 2 and Fuel Economy Standards</t>
  </si>
  <si>
    <t>ICCT 2014 Global Comparison of Passenger Car and Light-commercial Vehicle Fuel Economy/GHG Emissions Standards</t>
  </si>
  <si>
    <t>Tietge et al. 2017 A Comparison of Official and Real-World Fuel Consumption and CO2 Values For Passenger Cars in Europe, the United States, China, and Japan</t>
  </si>
  <si>
    <t>An et al. 2011 Global Overview on Fuel Efficiency and Motor Vehicle Emission Standards:Policy Options and Perspectives For International Cooperation</t>
  </si>
  <si>
    <t>USA fuel LDV and HDV economy chart 1960+</t>
  </si>
  <si>
    <t>https://www.ncbi.nlm.nih.gov/pmc/articles/PMC7467875/</t>
  </si>
  <si>
    <t>Harvey 2020 Rethinking electric vehicle subsidies, rediscovering energy efficiency</t>
  </si>
  <si>
    <t>https://www.transportpolicy.net/standard/us-light-duty-fuel-economy-and-ghg/</t>
  </si>
  <si>
    <t>Transport Policy US: LIGHT-DUTY: FUEL ECONOMY AND GHG</t>
  </si>
  <si>
    <t>https://www.bts.gov/archive/publications/bts_fact_sheets/oct_2015/figure_01</t>
  </si>
  <si>
    <t>BRAZIL LDV CASE STUDY</t>
  </si>
  <si>
    <t>http://environmentportal.in/files/file/2017%20Global%20update.pdf</t>
  </si>
  <si>
    <t xml:space="preserve">GFEI 2016 Fuel Economy State of the World </t>
  </si>
  <si>
    <t>Yang et al. ICCT 2017 LIGHT-DUTY VEHICLE GREENHOUSE GAS AND FUEL ECONOMY STANDARDS</t>
  </si>
  <si>
    <t>Bureau of Transportation Statistics 2014</t>
  </si>
  <si>
    <t>All</t>
  </si>
  <si>
    <t xml:space="preserve">Diesel </t>
  </si>
  <si>
    <t>Petrol</t>
  </si>
  <si>
    <t>Annual Average Fuel Economy in Sri Lanka (l/100km)</t>
  </si>
  <si>
    <t>Japan</t>
  </si>
  <si>
    <t>EU</t>
  </si>
  <si>
    <t>Canada</t>
  </si>
  <si>
    <t>Mexico</t>
  </si>
  <si>
    <t>China</t>
  </si>
  <si>
    <t>S. Korea</t>
  </si>
  <si>
    <t>India</t>
  </si>
  <si>
    <t>Brazil</t>
  </si>
  <si>
    <t>US</t>
  </si>
  <si>
    <t>Global comparison of light-commercial vehicle fuel-efficiency standards (Miles per gasonline gallon)</t>
  </si>
  <si>
    <t>Bahrain</t>
  </si>
  <si>
    <t>Uganda</t>
  </si>
  <si>
    <t>Indonesia</t>
  </si>
  <si>
    <t>Ethiopia</t>
  </si>
  <si>
    <t>Peru</t>
  </si>
  <si>
    <t>Tunisia</t>
  </si>
  <si>
    <t>Montenegro</t>
  </si>
  <si>
    <t>Georgia</t>
  </si>
  <si>
    <t>Kenya</t>
  </si>
  <si>
    <t>Morocco</t>
  </si>
  <si>
    <t>Mauritius</t>
  </si>
  <si>
    <t>Egypt</t>
  </si>
  <si>
    <t>Phillipines</t>
  </si>
  <si>
    <t>Algeria</t>
  </si>
  <si>
    <t>Côte d'Ivoire</t>
  </si>
  <si>
    <t>Baseline Light-Duty Vehicle Fuel Economy and Trends ( Liters/100km)</t>
  </si>
  <si>
    <t>Australia</t>
  </si>
  <si>
    <t>Fuel Economy (km/l of gasoline)</t>
  </si>
  <si>
    <t>S.Korea</t>
  </si>
  <si>
    <t>Yang 2014 same</t>
  </si>
  <si>
    <t>Passenger Cars Liters per 100km (gasoline equivalent)</t>
  </si>
  <si>
    <t>KSA</t>
  </si>
  <si>
    <t>Fuel consumption of passeneger cars liters/100km (gasoline equivalent)</t>
  </si>
  <si>
    <t>Fuel consumption in LCV (l/100km gasoline equivalent)</t>
  </si>
  <si>
    <t>Fuel efficiency of new cars(liter/100km)</t>
  </si>
  <si>
    <t>France</t>
  </si>
  <si>
    <t>UK</t>
  </si>
  <si>
    <t>Finland</t>
  </si>
  <si>
    <t>Sweden</t>
  </si>
  <si>
    <t>W. Germany</t>
  </si>
  <si>
    <t>Italy</t>
  </si>
  <si>
    <t>Fuel efficiency of total fleet(liter/100km)</t>
  </si>
  <si>
    <t>W.Germany</t>
  </si>
  <si>
    <t>Cars</t>
  </si>
  <si>
    <t>mpg</t>
  </si>
  <si>
    <t>l/100km</t>
  </si>
  <si>
    <t>Light Trucks</t>
  </si>
  <si>
    <t>Total Fleet</t>
  </si>
  <si>
    <t>US Fuel Economy</t>
  </si>
  <si>
    <t>Vehicle efficiency of passenger cars (ton-mpg)</t>
  </si>
  <si>
    <t>Vehicle efficiency of light trucks (ton-mpg)</t>
  </si>
  <si>
    <t>PEV</t>
  </si>
  <si>
    <t>Plug-in Electric Vehicle</t>
  </si>
  <si>
    <t>PHEV</t>
  </si>
  <si>
    <t>Plug-in Hybrid Electric Vehicle</t>
  </si>
  <si>
    <t>Battery Electric Vehicle</t>
  </si>
  <si>
    <t>BEV</t>
  </si>
  <si>
    <t>Fuel Economy for light trucks (miles per gallon)</t>
  </si>
  <si>
    <t>Fuel Economy for Passenger cars (miles per gallon)</t>
  </si>
  <si>
    <t>Turkey</t>
  </si>
  <si>
    <t>United Kingdom</t>
  </si>
  <si>
    <t>Germany</t>
  </si>
  <si>
    <t>Korea</t>
  </si>
  <si>
    <t>Ukraine</t>
  </si>
  <si>
    <t>Malaysia</t>
  </si>
  <si>
    <t>South Africa</t>
  </si>
  <si>
    <t>Thailand</t>
  </si>
  <si>
    <t>Argentina</t>
  </si>
  <si>
    <t>Chile</t>
  </si>
  <si>
    <t>Russian Federation</t>
  </si>
  <si>
    <t>Phillippines</t>
  </si>
  <si>
    <t>United States</t>
  </si>
  <si>
    <t xml:space="preserve">  number={1},</t>
  </si>
  <si>
    <t>}</t>
  </si>
  <si>
    <t>@article{sugathapala2015fuel,</t>
  </si>
  <si>
    <t xml:space="preserve">  title={FUEL ECONOMY OF LIGHT DUTY VEHICLES IN SRI LANKA},</t>
  </si>
  <si>
    <t xml:space="preserve">  author={Sugathapala, Thusitha},</t>
  </si>
  <si>
    <t>@article{yang2014global,</t>
  </si>
  <si>
    <t xml:space="preserve">  title={Global Impact of Light-Duty and Heavy-Duty Vehicle Fuel Efficiency Standards},</t>
  </si>
  <si>
    <t xml:space="preserve">  author={Yang, Zifei and Miller, Josh and Bandivadekar, Anup},</t>
  </si>
  <si>
    <t xml:space="preserve">  journal={THE ASIAN JOURNAL},</t>
  </si>
  <si>
    <t xml:space="preserve">  pages={55},</t>
  </si>
  <si>
    <t xml:space="preserve">  year={2014}</t>
  </si>
  <si>
    <t>https://www.sciencedirect.com/science/article/abs/pii/S0301421510002739</t>
  </si>
  <si>
    <t>Greene 2010 Rebound 2007 - Analysis of US light duty vehicle travel statistics</t>
  </si>
  <si>
    <t>@article{greene2012rebound,</t>
  </si>
  <si>
    <t xml:space="preserve">  title={Rebound 2007: Analysis of US light-duty vehicle travel statistics},</t>
  </si>
  <si>
    <t xml:space="preserve">  author={Greene, David L},</t>
  </si>
  <si>
    <t xml:space="preserve">  journal={Energy Policy},</t>
  </si>
  <si>
    <t xml:space="preserve">  volume={41},</t>
  </si>
  <si>
    <t xml:space="preserve">  pages={14--28},</t>
  </si>
  <si>
    <t xml:space="preserve">  year={2012},</t>
  </si>
  <si>
    <t xml:space="preserve">  publisher={Elsevier}</t>
  </si>
  <si>
    <t xml:space="preserve">  DOI={https://doi.org/10.1016/j.enpol.2010.03.083}</t>
  </si>
  <si>
    <t>@article{yang2017light,</t>
  </si>
  <si>
    <t xml:space="preserve">  title={Light-duty vehicle greenhouse gas and fuel economy standards},</t>
  </si>
  <si>
    <t xml:space="preserve">  author={Yang, Zifei and Bandivadekar, Anup},</t>
  </si>
  <si>
    <t xml:space="preserve">  journal={ICCT report},</t>
  </si>
  <si>
    <t xml:space="preserve">  pages={16},</t>
  </si>
  <si>
    <t xml:space="preserve">  year={2017}</t>
  </si>
  <si>
    <t xml:space="preserve">@misc{transportpolicy.net, </t>
  </si>
  <si>
    <t xml:space="preserve">  title={US: LIGHT-DUTY: FUEL ECONOMY AND GHG},</t>
  </si>
  <si>
    <t xml:space="preserve">  url={https://www.transportpolicy.net/standard/us-light-duty-fuel-economy-and-ghg/}, </t>
  </si>
  <si>
    <t xml:space="preserve">  journal={TransportPolicy.net}</t>
  </si>
  <si>
    <t xml:space="preserve">  year={2015},</t>
  </si>
  <si>
    <t xml:space="preserve">  url={https://www.fiafoundation.org/media/461037/asia_fuel-economy_sri-lanka_baseline.pdf}</t>
  </si>
  <si>
    <t>@book{european2000we,</t>
  </si>
  <si>
    <t xml:space="preserve">  title={Are we moving in the right direction?: indicators on transport and environment integration in the EU; TERM 2000},</t>
  </si>
  <si>
    <t xml:space="preserve">  author={European Environment Agency},</t>
  </si>
  <si>
    <t xml:space="preserve">  year={2000},</t>
  </si>
  <si>
    <t xml:space="preserve">  publisher={European Environment Agency},</t>
  </si>
  <si>
    <t xml:space="preserve">  url={https://www.eea.europa.eu/publications/ENVISSUENo12/page027.html}</t>
  </si>
  <si>
    <t xml:space="preserve">  url={https://aitd.net.in/pdf/AsianJournals/27-Fuel%20Efficiency%20of%20Road%20Transport.pdf#page=61}</t>
  </si>
  <si>
    <t xml:space="preserve">  url={http://environmentportal.in/files/file/2017%20Global%20update.pdf}</t>
  </si>
  <si>
    <t>@article{iea2019fuel,</t>
  </si>
  <si>
    <t xml:space="preserve">  title={Fuel Economy in Major Car Markets. Technology and policy drivers 2005-2017},</t>
  </si>
  <si>
    <t xml:space="preserve">  author={IEA, ICCT},</t>
  </si>
  <si>
    <t xml:space="preserve">  journal={Technology report},</t>
  </si>
  <si>
    <t xml:space="preserve">  year={2019}</t>
  </si>
  <si>
    <t xml:space="preserve">  url={https://theicct.org/publications/gfei-tech-policy-drivers-2005-2017}</t>
  </si>
  <si>
    <t>@article{tietge2017laboratory,</t>
  </si>
  <si>
    <t xml:space="preserve">  title={From Laboratory to Road International: A Comparison of Official and Real-World Fuel Consumption and CO₂ Values for Passenger Cars in Europe, the United States, China, and Japan},</t>
  </si>
  <si>
    <t xml:space="preserve">  author={Tietge, Uwe and D{\'\i}az, Sonsoles and Yang, Zifei and Mock, Peter},</t>
  </si>
  <si>
    <t xml:space="preserve">  url={https://theicct.org/sites/default/files/publications/Lab-to-road-intl_ICCT-white-paper_06112017_vF.pdf}</t>
  </si>
  <si>
    <t>@misc{blumberg_2012,</t>
  </si>
  <si>
    <t xml:space="preserve">  title={Mexico light-duty vehicle CO2 and fuel economy standards},</t>
  </si>
  <si>
    <t xml:space="preserve">  url={https://theicct.org/publications/mexico-light-duty-vehicle-co2-and-fuel-economy-standards}, </t>
  </si>
  <si>
    <t xml:space="preserve">  journal={The International Council on Clean Transportation},</t>
  </si>
  <si>
    <t xml:space="preserve">  publisher={ICCT},</t>
  </si>
  <si>
    <t xml:space="preserve">  author={Blumberg, Kate},</t>
  </si>
  <si>
    <t xml:space="preserve">  month={Jul}</t>
  </si>
  <si>
    <t>@misc{körner_watson_2016,</t>
  </si>
  <si>
    <t xml:space="preserve">  title={Fuel Economy State of the World 2016 Time for global action}, </t>
  </si>
  <si>
    <t xml:space="preserve">  url={https://www.globalfueleconomy.org/media/203446/gfei-state-of-the-world-report-2016.pdf},</t>
  </si>
  <si>
    <t xml:space="preserve">  journal={Global Fuel Economy Initiative},</t>
  </si>
  <si>
    <t xml:space="preserve">  publisher={GFEI},</t>
  </si>
  <si>
    <t xml:space="preserve">  year={2016}</t>
  </si>
  <si>
    <t xml:space="preserve">  title={Global Comparison of Passenger Car and Light-commercial Vehicle Fuel Economy/GHG Emissions Standards },</t>
  </si>
  <si>
    <t xml:space="preserve">  url={https://theicct.org/sites/default/files/info-tools/ICCT PV standard May2014.pdf},</t>
  </si>
  <si>
    <t xml:space="preserve">  year={2014},</t>
  </si>
  <si>
    <t xml:space="preserve">  month={May}</t>
  </si>
  <si>
    <t xml:space="preserve">1mpg = </t>
  </si>
  <si>
    <t>km/l</t>
  </si>
  <si>
    <t>Global comparison of passenger vehicle fuel-efficiency standards (km/lge)</t>
  </si>
  <si>
    <t>Global comparison of light-commercial vehicle fuel-efficiency standards  (km/lge)</t>
  </si>
  <si>
    <t>passenger car L/100km</t>
  </si>
  <si>
    <t>Global comparison of light-commercial vehicle fuel-efficiency standards  (lge/100km)</t>
  </si>
  <si>
    <t>Global comparison of passenger vehicle fuel-efficiency standards (lge/100km)</t>
  </si>
  <si>
    <t>Fuel Economy for Passenger cars l/100km</t>
  </si>
  <si>
    <t>Fuel Economy for light trucks l/100km</t>
  </si>
  <si>
    <t>Russia</t>
  </si>
  <si>
    <t>Greene 2010</t>
  </si>
  <si>
    <t>Yang 2014</t>
  </si>
  <si>
    <t>Sugathapala 2015</t>
  </si>
  <si>
    <t>UK car</t>
  </si>
  <si>
    <t>Finland car</t>
  </si>
  <si>
    <t>W. Germany car</t>
  </si>
  <si>
    <t>Italy car</t>
  </si>
  <si>
    <t>Sweden car</t>
  </si>
  <si>
    <t>lower bound</t>
  </si>
  <si>
    <t>upper bound</t>
  </si>
  <si>
    <t>U.S. Energy Information Administration</t>
  </si>
  <si>
    <t>January 2021 Monthly Energy Review</t>
  </si>
  <si>
    <t>Release Date: January 26, 2021</t>
  </si>
  <si>
    <t>Next Update: February 23, 2021</t>
  </si>
  <si>
    <t>Table 1.8 Motor Vehicle Mileage, Fuel Consumption, and Fuel Economy</t>
  </si>
  <si>
    <t>Light-Duty Vehicles, Short Wheelbase Mileage</t>
  </si>
  <si>
    <t>Light-Duty Vehicles, Short Wheelbase Fuel Consumption</t>
  </si>
  <si>
    <t>Light-Duty Vehicles, Short Wheelbase Fuel Economy</t>
  </si>
  <si>
    <t>Light-Duty Vehicles, Long Wheelbase Mileage</t>
  </si>
  <si>
    <t>Light-Duty Vehicles, Long Wheelbase Fuel Consumption</t>
  </si>
  <si>
    <t>Light-Duty Vehicles, Long Wheelbase Fuel Economy</t>
  </si>
  <si>
    <t>Heavy-Duty Trucks Mileage</t>
  </si>
  <si>
    <t>Heavy-Duty Trucks Fuel Consumption</t>
  </si>
  <si>
    <t>Heavy-Duty Trucks Fuel Economy</t>
  </si>
  <si>
    <t>All Motor Vehicles Mileage</t>
  </si>
  <si>
    <t>All Motor Vehicles Fuel Consumption</t>
  </si>
  <si>
    <t>All Motor Vehicles Fuel Economy</t>
  </si>
  <si>
    <t>(Miles per Vehicle)</t>
  </si>
  <si>
    <t>(Gallons per Vehicle)</t>
  </si>
  <si>
    <t>(Miles per Gallon)</t>
  </si>
  <si>
    <t>Not Available</t>
  </si>
  <si>
    <t>USA</t>
  </si>
  <si>
    <t>Description</t>
  </si>
  <si>
    <t>petrol</t>
  </si>
  <si>
    <t>1 gallon = 131.9 megajoules – HHV *</t>
  </si>
  <si>
    <t>MJ (HHV)</t>
  </si>
  <si>
    <t>This page produces the time-series exergy conversion efficiencies for road vehicles</t>
  </si>
  <si>
    <t>131.9 megajoules = 0.00315037737652 tons of oil</t>
  </si>
  <si>
    <t>https://theicct.org/sites/default/files/publications/AERO_RR_Technologies_Whitepaper_FINAL_Oct2012.pdf</t>
  </si>
  <si>
    <t>petrol and diesel transport are calcualted separately</t>
  </si>
  <si>
    <r>
      <t>www.extension.iastate.edu/agdm/wholefarm/pdf/c6-87.pdf</t>
    </r>
    <r>
      <rPr>
        <sz val="11"/>
        <color rgb="FF222222"/>
        <rFont val="Arial"/>
        <family val="2"/>
      </rPr>
      <t>‎</t>
    </r>
  </si>
  <si>
    <t>MJ</t>
  </si>
  <si>
    <t>toe</t>
  </si>
  <si>
    <t>truck = 66% losses, so power to wheels / input fuel eta here is 34%</t>
  </si>
  <si>
    <t>car: % power to wheels / input fuel eta here is 16-25%</t>
  </si>
  <si>
    <t>US gallons</t>
  </si>
  <si>
    <t xml:space="preserve">Uk gallons </t>
  </si>
  <si>
    <t>How this page works</t>
  </si>
  <si>
    <t>diesel</t>
  </si>
  <si>
    <t>1 gallon = 146.3 megajoules – HHV *</t>
  </si>
  <si>
    <t>get vehicle miles by mode (car, van, truck, bus, motor cycle)</t>
  </si>
  <si>
    <t>get vehicle fuel consumption by mode (car, van, truck, bus etc)</t>
  </si>
  <si>
    <t>1 toe</t>
  </si>
  <si>
    <t>calculate diesel and petrol mpg 1960+</t>
  </si>
  <si>
    <t>use 1970 car exergy efficiency value as starting point. 10% petrol = 1970. diesel = 12.5% (25% higher)</t>
  </si>
  <si>
    <r>
      <t xml:space="preserve">Convert </t>
    </r>
    <r>
      <rPr>
        <b/>
        <sz val="12"/>
        <color rgb="FF222222"/>
        <rFont val="Arial"/>
        <family val="2"/>
      </rPr>
      <t>US</t>
    </r>
    <r>
      <rPr>
        <sz val="12"/>
        <color rgb="FF222222"/>
        <rFont val="Arial"/>
        <family val="2"/>
      </rPr>
      <t xml:space="preserve"> gallon to </t>
    </r>
    <r>
      <rPr>
        <b/>
        <sz val="12"/>
        <color rgb="FF222222"/>
        <rFont val="Arial"/>
        <family val="2"/>
      </rPr>
      <t>Imperial gallon</t>
    </r>
    <r>
      <rPr>
        <sz val="12"/>
        <color rgb="FF222222"/>
        <rFont val="Arial"/>
        <family val="2"/>
      </rPr>
      <t xml:space="preserve"> (gal to </t>
    </r>
    <r>
      <rPr>
        <b/>
        <sz val="12"/>
        <color rgb="FF222222"/>
        <rFont val="Arial"/>
        <family val="2"/>
      </rPr>
      <t>Imperial gallon</t>
    </r>
    <r>
      <rPr>
        <sz val="12"/>
        <color rgb="FF222222"/>
        <rFont val="Arial"/>
        <family val="2"/>
      </rPr>
      <t xml:space="preserve">) and back. Volume: Imperialgallon=gal×0.83267384. gal=Imperialgallon×1.20095042. Definitions </t>
    </r>
  </si>
  <si>
    <t>use 1970 trucks/bus efficiency = 34% (2010) from ICCT plot. Reistad estimates 25% in 1970</t>
  </si>
  <si>
    <t>The imperial (UK) gallon, defined as exactly 4.54609 litres</t>
  </si>
  <si>
    <t>terminal efficiency for petrol = 35%, diesel cars = 43.75% (35% x 1.25); diesel bus/truck 50%</t>
  </si>
  <si>
    <t>The US gallon, which is equal to 3.785411784 litres</t>
  </si>
  <si>
    <t>All other points using fuel efficiency values mpg and exponential fit to terminal value</t>
  </si>
  <si>
    <t>data sources</t>
  </si>
  <si>
    <t>US Gallon</t>
  </si>
  <si>
    <t xml:space="preserve"> = </t>
  </si>
  <si>
    <t>UK (Imperial) Gallon</t>
  </si>
  <si>
    <t>IEA data</t>
  </si>
  <si>
    <t>1960+ diesel and petrol ktoe consumed</t>
  </si>
  <si>
    <t>TRA 0101</t>
  </si>
  <si>
    <t>1960+ vehicle kms by mode (car, van, truck, bus)</t>
  </si>
  <si>
    <t xml:space="preserve">Thus pro-rata US mpg data by </t>
  </si>
  <si>
    <t>to get into UK equivalent mpg</t>
  </si>
  <si>
    <t>Table C8 ECUK</t>
  </si>
  <si>
    <t>1970+ fuel consumption diesel/petrol by mode (car, van, bus etc)</t>
  </si>
  <si>
    <t>DECC, Energy Consumption in the UK</t>
  </si>
  <si>
    <t xml:space="preserve">https://www.gov.uk/government/publications/energy-consumption-in-the-uk </t>
  </si>
  <si>
    <t>DfT road freight tables</t>
  </si>
  <si>
    <t>1970 car exergy efficiency value</t>
  </si>
  <si>
    <t>Results</t>
  </si>
  <si>
    <t>old/aggregate</t>
  </si>
  <si>
    <t>new by mode</t>
  </si>
  <si>
    <t>gasoline-motorcycles f-u eta efficiency, y = 35(1-e^-0.025x)</t>
  </si>
  <si>
    <t>gasoline-cars/vans f-u eta efficiency, y = 35(1-e^-0.025x)</t>
  </si>
  <si>
    <t>diesel-cars/vans f-u eta efficiency, y = 43.75(1-e^-0.025x)</t>
  </si>
  <si>
    <t>diesel-trucks f-u eta efficiency, y = 50(1-e^-0.13x)</t>
  </si>
  <si>
    <t>diesel-bus f-u eta efficiency, y = 50(1-e^-0.13x)</t>
  </si>
  <si>
    <t>gasoline-motorcycles share of road gasoline use</t>
  </si>
  <si>
    <t>gasoline-cars/vans share of road gasoline use</t>
  </si>
  <si>
    <t>diesel-cars/vans share of road diesel use</t>
  </si>
  <si>
    <t>diesel-trucks share of road diesel use</t>
  </si>
  <si>
    <t>diesel-bus share of road diesel use</t>
  </si>
  <si>
    <t>UK aggregate road vehicle exergy efficiency</t>
  </si>
  <si>
    <t>10% 1970 US Petrol vehcile</t>
  </si>
  <si>
    <t>gasoline-motorcycles fuel economy mpUSg</t>
  </si>
  <si>
    <t>gasoline-cars/vans fuel economy mpUSg</t>
  </si>
  <si>
    <t>diesel-cars/vans fuel economy mpUSg</t>
  </si>
  <si>
    <t>diesel-trucks fuel economy mpUSg</t>
  </si>
  <si>
    <t>diesel-bus fuel economy mpUSg</t>
  </si>
  <si>
    <t>UK petrol fuel economy mpUSg</t>
  </si>
  <si>
    <t>UK diesel fuel economy mpUSg</t>
  </si>
  <si>
    <t>petrol exergy efficiency, y = 35(1-e^-0.025x)</t>
  </si>
  <si>
    <t>diesel exergy efficiency, y = 43.75(1-e^-0.025x)</t>
  </si>
  <si>
    <t>UK average fuel economy mpUSg</t>
  </si>
  <si>
    <t>fuel economy mpg (Uk Gallon)</t>
  </si>
  <si>
    <t>x</t>
  </si>
  <si>
    <t xml:space="preserve"> s/s petrol exergy efficiency y = 10log (0.416mpg) Uk Gallon</t>
  </si>
  <si>
    <t>y1</t>
  </si>
  <si>
    <t xml:space="preserve"> s/s diesel exergy efficiency y = 12.5log (0.416mpg) Uk Gallon</t>
  </si>
  <si>
    <t>y2</t>
  </si>
  <si>
    <t>s/s - diesel exergy efficiency #2 y = 8log (mpgx1.25) Uk Gallon</t>
  </si>
  <si>
    <t xml:space="preserve"> s/s petrol exergy efficiency y = 16.8log (0.1916mpUKg)</t>
  </si>
  <si>
    <t xml:space="preserve"> s/s diesel exergy efficiency y = 21log (0.1916mpUKg)</t>
  </si>
  <si>
    <t>Ayres &amp; warr y = 0.52xmpg (US Gallon)</t>
  </si>
  <si>
    <t>Total Final consumption - IEA data</t>
  </si>
  <si>
    <t>ktoe</t>
  </si>
  <si>
    <t>Motor gasoline</t>
  </si>
  <si>
    <t>Gas/diesel oil</t>
  </si>
  <si>
    <t>Total</t>
  </si>
  <si>
    <t>Mtoe</t>
  </si>
  <si>
    <t>Motor gasoline - IEA data</t>
  </si>
  <si>
    <t>Gas/diesel oil - IEA data</t>
  </si>
  <si>
    <t>Total - IEA data</t>
  </si>
  <si>
    <t>TRA 0101 mileage data (colected Nov 2020 - scroll down)</t>
  </si>
  <si>
    <t>Billion miles</t>
  </si>
  <si>
    <t>Cars and taxis</t>
  </si>
  <si>
    <t>Light vans</t>
  </si>
  <si>
    <t>Goods vehicles</t>
  </si>
  <si>
    <t>Motorcycles</t>
  </si>
  <si>
    <t>Buses &amp; Coaches</t>
  </si>
  <si>
    <t>TRA 010 mileage data</t>
  </si>
  <si>
    <t>Billion kms</t>
  </si>
  <si>
    <t>BEIS Energy Consumption in the UK</t>
  </si>
  <si>
    <t>https://www.gov.uk/government/statistics/energy-consumption-in-the-uk</t>
  </si>
  <si>
    <t>Cars &amp; Taxis - petrol Mtoe</t>
  </si>
  <si>
    <t>Cars &amp; Taxis - DERV Mtoe</t>
  </si>
  <si>
    <t>Cars &amp; Taxis - total fuel Mtoe</t>
  </si>
  <si>
    <t>2009/1970</t>
  </si>
  <si>
    <t xml:space="preserve">Cars &amp; Taxis - 1000kms/toe </t>
  </si>
  <si>
    <t>Cars &amp; Taxis - 1000kms/toe (Petrol)</t>
  </si>
  <si>
    <t>Cars &amp; Taxis - 1000kms/toe (DERV)</t>
  </si>
  <si>
    <t>Cars &amp; taxis gasoline - mpgUK</t>
  </si>
  <si>
    <t>Cars &amp; Taxis diesel - mpgUK</t>
  </si>
  <si>
    <t>% of total petrol</t>
  </si>
  <si>
    <t>% of total DERV</t>
  </si>
  <si>
    <t>Light vans - petrol Mtoe</t>
  </si>
  <si>
    <t>Light vans - DERV Mtoe</t>
  </si>
  <si>
    <t>Light vans - total fuel Mtoe</t>
  </si>
  <si>
    <t xml:space="preserve">Light vans - 1000kms/toe </t>
  </si>
  <si>
    <t>Light vans - 1000kms/toe (Petrol)</t>
  </si>
  <si>
    <t>Light vans - 1000kms/toe (DERV)</t>
  </si>
  <si>
    <t>Light vehicles gasoline - mpgUK</t>
  </si>
  <si>
    <t>Light vehicles diesel - mpgUK</t>
  </si>
  <si>
    <t>Cars and vans - gasoline Mtoe</t>
  </si>
  <si>
    <t>Cars and vans - DERV Mtoe</t>
  </si>
  <si>
    <t>Cars and vans - total fuel Mtoe</t>
  </si>
  <si>
    <t xml:space="preserve">Cars and vans - 1000kms/toe </t>
  </si>
  <si>
    <t>Cars and vans - 1000kms/toe (Petrol)</t>
  </si>
  <si>
    <t>Cars and vans - 1000kms/toe (DERV)</t>
  </si>
  <si>
    <t>Cars and vans gasoline - mpgUK</t>
  </si>
  <si>
    <t>Cars and vans diesel - mpgUK</t>
  </si>
  <si>
    <t>Goods vehicles - DERV Mtoe</t>
  </si>
  <si>
    <t>Goods vehicles - toe/1000km (total)</t>
  </si>
  <si>
    <t>Goods vehicles - kgoe/100km (total)</t>
  </si>
  <si>
    <t>Goods vehicles - 1000kms/toe (total)</t>
  </si>
  <si>
    <t>Goods vehicles - mpgUK</t>
  </si>
  <si>
    <t>Motorcycles - petrol Mtoe</t>
  </si>
  <si>
    <t>Motorcycles - 1000kms/toe</t>
  </si>
  <si>
    <t>Motorcycles - mpgUK</t>
  </si>
  <si>
    <t>Buses &amp; Coaches - DERV Mtoe</t>
  </si>
  <si>
    <t>Buses &amp; Coaches - 1000kms/toe</t>
  </si>
  <si>
    <t>Buses &amp; coaches - mpgUK</t>
  </si>
  <si>
    <t>IEA data 1960-1969</t>
  </si>
  <si>
    <t>Total Petrol Mtoe</t>
  </si>
  <si>
    <t>Total DERV Mtoe</t>
  </si>
  <si>
    <t>Total fuel Mtoe</t>
  </si>
  <si>
    <t>Total petrol Billion kms</t>
  </si>
  <si>
    <t>Total diesel Billion kms</t>
  </si>
  <si>
    <t>Total Billion kms</t>
  </si>
  <si>
    <t>Total petrol 1000kms/toe (av. of 1971-1975)</t>
  </si>
  <si>
    <t>Total DERV 1000kms/toe (av. Of 1971-1975)</t>
  </si>
  <si>
    <t>Total fuel 1000kms/toe</t>
  </si>
  <si>
    <t>old petrol exergy efficiency superseeded</t>
  </si>
  <si>
    <t>new petrol exergy efficiency superseded</t>
  </si>
  <si>
    <t>old diesel exergy efficiency s/s</t>
  </si>
  <si>
    <t>new diesel exergy efficiency s/s</t>
  </si>
  <si>
    <t>UK road vehicle efficiency based on exp function</t>
  </si>
  <si>
    <t>total petrol mpg (UK Gallon)</t>
  </si>
  <si>
    <t>total diesel mpg (UK Gallon)</t>
  </si>
  <si>
    <t>average vehicle mpg (Uk Gallon)</t>
  </si>
  <si>
    <t>total petrol mpg (US Gallon)</t>
  </si>
  <si>
    <t>US - total petrol mpg (US Gallon)</t>
  </si>
  <si>
    <t>US petrol road vehicles - exergy efficiency</t>
  </si>
  <si>
    <t>Road freight statistics 2009</t>
  </si>
  <si>
    <t>Section 1: The domestic activity of GB-registered heavy goods vehicles, 2009</t>
  </si>
  <si>
    <t>Table 1.1:  Tonne kilometres, tonnes lifted and vehicle kilometres, annual 1989-2009 and quarterly 2004-2009</t>
  </si>
  <si>
    <t>http://tna.europarchive.org/20110503185748/http://www.dft.gov.uk/excel/173025/221412/221522/222944/rfs2009section1.xls#'1.1'!A1.</t>
  </si>
  <si>
    <t>Index (1989=100)</t>
  </si>
  <si>
    <t>Tonne km</t>
  </si>
  <si>
    <t>Tonnes lifted</t>
  </si>
  <si>
    <t>Vehicle km</t>
  </si>
  <si>
    <t>(billion)</t>
  </si>
  <si>
    <t>(million)</t>
  </si>
  <si>
    <t>1989</t>
  </si>
  <si>
    <t>1990</t>
  </si>
  <si>
    <t>1991</t>
  </si>
  <si>
    <t>1992</t>
  </si>
  <si>
    <t>1993</t>
  </si>
  <si>
    <t>1994</t>
  </si>
  <si>
    <t>R</t>
  </si>
  <si>
    <t>Department for Transport statistics</t>
  </si>
  <si>
    <t>Traffic (www.gov.uk/government/organisations/department-for-transport/series/road-traffic-statistics)</t>
  </si>
  <si>
    <t>Table TRA0101</t>
  </si>
  <si>
    <t>Road traffic (vehicle miles) by vehicle type in Great Britain, annual from 1949</t>
  </si>
  <si>
    <t>Billion vehicle miles</t>
  </si>
  <si>
    <t>Other Vehicles</t>
  </si>
  <si>
    <t>Cars and Taxis</t>
  </si>
  <si>
    <r>
      <t xml:space="preserve">Light Commercial
Vehicles </t>
    </r>
    <r>
      <rPr>
        <b/>
        <vertAlign val="superscript"/>
        <sz val="10"/>
        <color rgb="FF000000"/>
        <rFont val="Arial"/>
        <family val="2"/>
      </rPr>
      <t>1</t>
    </r>
  </si>
  <si>
    <r>
      <t xml:space="preserve">Heavy Goods Vehicles </t>
    </r>
    <r>
      <rPr>
        <b/>
        <vertAlign val="superscript"/>
        <sz val="10"/>
        <color rgb="FF000000"/>
        <rFont val="Arial"/>
        <family val="2"/>
      </rPr>
      <t>2</t>
    </r>
  </si>
  <si>
    <r>
      <t xml:space="preserve">Total </t>
    </r>
    <r>
      <rPr>
        <b/>
        <vertAlign val="superscript"/>
        <sz val="10"/>
        <color rgb="FF000000"/>
        <rFont val="Arial"/>
        <family val="2"/>
      </rPr>
      <t>3</t>
    </r>
  </si>
  <si>
    <t>All motor vehicles</t>
  </si>
  <si>
    <t>1949</t>
  </si>
  <si>
    <t>1950</t>
  </si>
  <si>
    <t>1951</t>
  </si>
  <si>
    <t>1952</t>
  </si>
  <si>
    <t>1953</t>
  </si>
  <si>
    <t>1954</t>
  </si>
  <si>
    <t>1955</t>
  </si>
  <si>
    <t>1956</t>
  </si>
  <si>
    <t>1957</t>
  </si>
  <si>
    <t>1958</t>
  </si>
  <si>
    <t>1959</t>
  </si>
  <si>
    <t>1960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</si>
  <si>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</si>
  <si>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</si>
  <si>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</si>
  <si>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</si>
  <si>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</si>
  <si>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</si>
  <si>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</si>
  <si>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</si>
  <si>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</si>
  <si>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</si>
  <si>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</si>
  <si>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</si>
  <si>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</si>
  <si>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</si>
  <si>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</si>
  <si>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</si>
  <si>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</si>
  <si>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</si>
  <si>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</si>
  <si>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</si>
  <si>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</si>
  <si>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</si>
  <si>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</si>
  <si>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</si>
  <si>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</si>
  <si>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</si>
  <si>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</si>
  <si>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</si>
  <si>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1995</t>
  </si>
  <si>
    <t>1996</t>
  </si>
  <si>
    <t>1997</t>
  </si>
  <si>
    <t>1998</t>
  </si>
  <si>
    <t>1999</t>
  </si>
  <si>
    <t>2000</t>
  </si>
  <si>
    <t>2001</t>
  </si>
  <si>
    <t>2002</t>
  </si>
  <si>
    <t>2003</t>
  </si>
  <si>
    <t>2004</t>
  </si>
  <si>
    <t>2005</t>
  </si>
  <si>
    <t xml:space="preserve">2006 </t>
  </si>
  <si>
    <t>2007</t>
  </si>
  <si>
    <t>2008</t>
  </si>
  <si>
    <t>2009</t>
  </si>
  <si>
    <t>1 Not exceeding 3,500 kgs gross vehicle weight, post 1982</t>
  </si>
  <si>
    <t>Source: DfT National Road Traffic Survey</t>
  </si>
  <si>
    <t>2 Over 3,500 kgs gross vehicle weight, post 1982</t>
  </si>
  <si>
    <t>Last updated: September 2020</t>
  </si>
  <si>
    <t>3 Total of all other vehicles (i.e. motorcycles, buses, and coaches)</t>
  </si>
  <si>
    <t>Next update: June 2021</t>
  </si>
  <si>
    <t>4 Data for 1993 onwards are not directly comparable with the figures for 1992 and earlier</t>
  </si>
  <si>
    <t xml:space="preserve">R Estimates for the period since 2010 have been revised to take into account the
</t>
  </si>
  <si>
    <t xml:space="preserve">minor road benchmarking exercise. Further details available at: </t>
  </si>
  <si>
    <t>https://www.gov.uk/government/publications/road-traffic-statistics-minor-road-benchmarking</t>
  </si>
  <si>
    <t>Telephone: 020 7944 3095</t>
  </si>
  <si>
    <t>Email: roadtraff.stats@dft.gov.uk</t>
  </si>
  <si>
    <t>Notes &amp; definitions:</t>
  </si>
  <si>
    <t>https://www.gov.uk/government/publications/road-traffic-statistics-guidance</t>
  </si>
  <si>
    <t>The figures in this table are National Statistics.</t>
  </si>
  <si>
    <t>1mpg</t>
  </si>
  <si>
    <t>1/100km</t>
  </si>
  <si>
    <t>mpgUK</t>
  </si>
  <si>
    <t>Cars &amp; taxis gasoline</t>
  </si>
  <si>
    <t>Cars &amp; taxis diesel</t>
  </si>
  <si>
    <t xml:space="preserve">1mpgUS = </t>
  </si>
  <si>
    <t>UK stats agency</t>
  </si>
  <si>
    <t>US stats agency</t>
  </si>
  <si>
    <t>gasoline only</t>
  </si>
  <si>
    <t>Schipper 1994, bashmakov 2008</t>
  </si>
  <si>
    <t>new car efficiency standards</t>
  </si>
  <si>
    <t>South Korea</t>
  </si>
  <si>
    <t>steps taken for light duty vehicles</t>
  </si>
  <si>
    <t>real-world stock</t>
  </si>
  <si>
    <t>car</t>
  </si>
  <si>
    <t>LDV</t>
  </si>
  <si>
    <t>Sri Lanka</t>
  </si>
  <si>
    <t>new car / efficiency standards</t>
  </si>
  <si>
    <t>ratio of new vs fleet</t>
  </si>
  <si>
    <t>LDV - Cars and vans gasoline - MpgUK</t>
  </si>
  <si>
    <t>LDV - Cars and vans diesel - MpgUK</t>
  </si>
  <si>
    <t>LDV - Cars and vans gasoline</t>
  </si>
  <si>
    <t>LDV - Cars and vans diesel</t>
  </si>
  <si>
    <t>Light vehicles gasoline</t>
  </si>
  <si>
    <t>Light vehicles diesel</t>
  </si>
  <si>
    <t>Light-duty vehicles (SWB + LWB)</t>
  </si>
  <si>
    <t>UK - Road transport / energy consumption</t>
  </si>
  <si>
    <t>Energy consumption (ktoe)</t>
  </si>
  <si>
    <t>by fuel (EUROSTAT DATA)</t>
  </si>
  <si>
    <t>Liquids</t>
  </si>
  <si>
    <t>Liquified petroleum gas (LPG)</t>
  </si>
  <si>
    <t>Gasoline (without biofuels)</t>
  </si>
  <si>
    <t>Gas/Diesel oil (without biofuels)</t>
  </si>
  <si>
    <t>Natural gas</t>
  </si>
  <si>
    <t>Renewable energies and wastes</t>
  </si>
  <si>
    <t>Biogas</t>
  </si>
  <si>
    <t>Biogasoline</t>
  </si>
  <si>
    <t>Biodiesel</t>
  </si>
  <si>
    <t>Other biofuels</t>
  </si>
  <si>
    <t>Electricity</t>
  </si>
  <si>
    <t>Total energy consumption (ktoe)</t>
  </si>
  <si>
    <t>Passenger transport</t>
  </si>
  <si>
    <t>Powered 2-wheelers (Gasoline)</t>
  </si>
  <si>
    <t>of which biofuels</t>
  </si>
  <si>
    <t>Passenger cars</t>
  </si>
  <si>
    <t>Gasoline engine</t>
  </si>
  <si>
    <t>Diesel oil engine</t>
  </si>
  <si>
    <t>LPG engine</t>
  </si>
  <si>
    <t>Natural gas engine</t>
  </si>
  <si>
    <t>of which biogas</t>
  </si>
  <si>
    <t>Plug-in hybrid electric (Gasoline and electricity)</t>
  </si>
  <si>
    <t>of which electricity</t>
  </si>
  <si>
    <t>Battery electric vehicles</t>
  </si>
  <si>
    <t>Motor coaches, buses and trolley buses</t>
  </si>
  <si>
    <t>Freight transport</t>
  </si>
  <si>
    <t>Light duty vehicles</t>
  </si>
  <si>
    <t>Heavy duty vehicles (Diesel oil incl. biofuels)</t>
  </si>
  <si>
    <t>Domestic</t>
  </si>
  <si>
    <t>International</t>
  </si>
  <si>
    <t>Indicators</t>
  </si>
  <si>
    <t>Vehicle-efficiency - effective (kgoe/100 km)</t>
  </si>
  <si>
    <t>Powered 2-wheelers</t>
  </si>
  <si>
    <t>Plug-in hybrid electric</t>
  </si>
  <si>
    <t>Heavy duty vehicles</t>
  </si>
  <si>
    <t>Energy intensity over activity</t>
  </si>
  <si>
    <t>Passenger transport (kgoe / 000 pkm)</t>
  </si>
  <si>
    <t>Freight transport (kgoe / 000 tkm)</t>
  </si>
  <si>
    <t>Energy consumption per vehicle annum (kgoe/vehicle)</t>
  </si>
  <si>
    <t>Shares of total energy consumption (%)</t>
  </si>
  <si>
    <t>kgoe/100km</t>
  </si>
  <si>
    <t>gasoline</t>
  </si>
  <si>
    <t>litre</t>
  </si>
  <si>
    <t>kg</t>
  </si>
  <si>
    <t>LDVs - gasoline (JRC)</t>
  </si>
  <si>
    <t>LDVs - gasoline (ECUK)</t>
  </si>
  <si>
    <t>EU28 - Road transport / energy consumption</t>
  </si>
  <si>
    <t>EU-28</t>
  </si>
  <si>
    <t>DE - Road transport / energy consumption</t>
  </si>
  <si>
    <t>GER</t>
  </si>
  <si>
    <t>AVERAGE</t>
  </si>
  <si>
    <t>Average NEW fuel economy by country (2005-2017) in lge/100km</t>
  </si>
  <si>
    <t>ratio vs USA</t>
  </si>
  <si>
    <t>This includes diesel + gasoline</t>
  </si>
  <si>
    <t>total fuel Mtoe</t>
  </si>
  <si>
    <t>billion miles</t>
  </si>
  <si>
    <t>UK gallon</t>
  </si>
  <si>
    <t>UK Gallons</t>
  </si>
  <si>
    <t>Million Uk Gallons</t>
  </si>
  <si>
    <t>LDV Gasoline only</t>
  </si>
  <si>
    <t>Gasoline - car only</t>
  </si>
  <si>
    <t>billion miles - cars</t>
  </si>
  <si>
    <t>billion miles - vans</t>
  </si>
  <si>
    <t>Gasoline - light vans only</t>
  </si>
  <si>
    <t>UK - LDVs - gasoline (ECUK) #2</t>
  </si>
  <si>
    <t>US - LDVs - gasoline (Table 1.8)</t>
  </si>
  <si>
    <t>mpUKg</t>
  </si>
  <si>
    <t>y3</t>
  </si>
  <si>
    <t>y4</t>
  </si>
  <si>
    <t>y5</t>
  </si>
  <si>
    <t>petrol exergy efficiency, y = 35(1-e^-0.01x)</t>
  </si>
  <si>
    <t>petrol exergy efficiency, y = 35(1-e^-0.02x)</t>
  </si>
  <si>
    <t>petrol exergy efficiency, y = 35(1-e^-0.03x)</t>
  </si>
  <si>
    <t>petrol exergy efficiency, y = 35(1-e^-0.04x)</t>
  </si>
  <si>
    <t>petrol exergy efficiency, y = 35(1-e^-0.05x)</t>
  </si>
  <si>
    <t>two intermediate points:</t>
  </si>
  <si>
    <t>2. Holmberg 2012, for LDV in 2000, 8l/km = 35mpg = 21.5% f-u efficiency</t>
  </si>
  <si>
    <t>start point</t>
  </si>
  <si>
    <t>0. 0 mpg = 0% efficiency</t>
  </si>
  <si>
    <t xml:space="preserve">terminal efficiency </t>
  </si>
  <si>
    <t>3. for petrol = 35%, diesel cars = 43.75% (35% x 1.25); diesel bus/truck 50%</t>
  </si>
  <si>
    <t>gasoline exergy efficiency, y = 35(1-e^-0.025x)</t>
  </si>
  <si>
    <t xml:space="preserve">therefore, best fit = </t>
  </si>
  <si>
    <t>Plot fleet / stock real-world fuel economy for gasoline-powered LDVs (cars + LCVs) for two long time-series available: US and UK</t>
  </si>
  <si>
    <t>plot best fit lines, and mark low, mid, upper bound fuel economy lines in l/100km</t>
  </si>
  <si>
    <t xml:space="preserve">Steps   </t>
  </si>
  <si>
    <t>work out f-u efficiency curve for gasoline + diesel LDVs, based on fuel economy data</t>
  </si>
  <si>
    <t>calculate f-u efficiencies for low, med, upper bound fuel economy =, plus US + Uk case studies</t>
  </si>
  <si>
    <t>Gasoline LDV f-u efficiency values for 5 groups</t>
  </si>
  <si>
    <t>LDVs - gasoline</t>
  </si>
  <si>
    <t>LDV Diesel only</t>
  </si>
  <si>
    <t>UK - LDVs - diesel (ECUK) #2</t>
  </si>
  <si>
    <t>LDVs gasonline - lower bound</t>
  </si>
  <si>
    <t>LDVs gasoline - middle bound</t>
  </si>
  <si>
    <t>LDVs gasoline - upper bound</t>
  </si>
  <si>
    <t>LDVs diesel - lower bound</t>
  </si>
  <si>
    <t>LDVs diesel - middle bound</t>
  </si>
  <si>
    <t>LDVs diesel - upper bound</t>
  </si>
  <si>
    <t>US - LDVs - diesel (Table 1.8)</t>
  </si>
  <si>
    <t>Diesel LDV f-u efficiency values for 5 groups</t>
  </si>
  <si>
    <t>1. use 1975 APS report Chapter 4 US gasoline car exergy efficiency value as starting point, at 14mpUKg ~ 10% f-u efficiency petrol = 1970. diesel = 12.5% (25% higher)</t>
  </si>
  <si>
    <t>use these efficiencies</t>
  </si>
  <si>
    <t xml:space="preserve"> @misc{ECUK2020,</t>
  </si>
  <si>
    <t>author = {{Department for Business, Energy &amp; Industrial Strategy (BEIS)}},</t>
  </si>
  <si>
    <t>institution = {Department for Business, Energy &amp; Industrial Strategy},</t>
  </si>
  <si>
    <t>title = {{Energy Consumption in the UK (ECUK) 2020 Table C8}},</t>
  </si>
  <si>
    <t>url = {https://www.gov.uk/government/statistics/energy-consumption-in-the-uk},</t>
  </si>
  <si>
    <t>year = {2020}</t>
  </si>
  <si>
    <t>author = {{US Energy Information Administration (EIA)}},</t>
  </si>
  <si>
    <t>institution = {US Energy Information Administration},</t>
  </si>
  <si>
    <t>title = {{Table 1.8 Motor Vehicle Mileage, Fuel Consumption, and Fuel Economy, 1949-2019}},</t>
  </si>
  <si>
    <t>url = {https://www.eia.gov/totalenergy/data/monthly/pdf/sec1_21.pdf},</t>
  </si>
  <si>
    <t>year = {2021}</t>
  </si>
  <si>
    <t>author = {{Department for Transport (DfT)}},</t>
  </si>
  <si>
    <t>institution = {Department for Transport},</t>
  </si>
  <si>
    <t>title = {{Road traffic statistics (TRA) Table TRA 0101}},</t>
  </si>
  <si>
    <t>url = {https://www.gov.uk/government/statistical-data-sets/road-traffic-statistics-tra},</t>
  </si>
  <si>
    <t>author = {Carnahan, W. and Ford, K. W. and Prosperetti, A. and Rochlin, G. I. and Rosenfeld, A. and Ross, M. and Rothberg, J. and Seidel, G. and Socolow, R. (Eds)},</t>
  </si>
  <si>
    <t>booktitle = {American Institute of Physics, Conference Series, Vol. 25},</t>
  </si>
  <si>
    <t>doi = {10.1063/1.30310},</t>
  </si>
  <si>
    <t>pages = {99--120},</t>
  </si>
  <si>
    <t>title = {{Technical Aspects of the More Efficient Utilization of Energy: Chapter 4 - The automobile}},</t>
  </si>
  <si>
    <t>year = {1975}</t>
  </si>
  <si>
    <t>@article{bashmakov2009resource,</t>
  </si>
  <si>
    <t xml:space="preserve">  title={Resource of energy efficiency in Russia: scale, costs, and benefits},</t>
  </si>
  <si>
    <t xml:space="preserve">  author={Bashmakov, Igor},</t>
  </si>
  <si>
    <t xml:space="preserve">  journal={Energy Efficiency},</t>
  </si>
  <si>
    <t xml:space="preserve">  volume={2},</t>
  </si>
  <si>
    <t xml:space="preserve">  number={4},</t>
  </si>
  <si>
    <t xml:space="preserve">  pages={369--386},</t>
  </si>
  <si>
    <t xml:space="preserve">  year={2009},</t>
  </si>
  <si>
    <t xml:space="preserve">  publisher={Springer}</t>
  </si>
  <si>
    <t xml:space="preserve">  doi = {10.1007/s12053-009-9050-1},</t>
  </si>
  <si>
    <t>@article{cooper1992efficiency,</t>
  </si>
  <si>
    <t xml:space="preserve">  title={The efficiency of energy use in the USSR—an international perspective},</t>
  </si>
  <si>
    <t xml:space="preserve">  author={Cooper, R Caron and Schipper, Lee},</t>
  </si>
  <si>
    <t xml:space="preserve">  journal={Energy},</t>
  </si>
  <si>
    <t xml:space="preserve">  volume={17},</t>
  </si>
  <si>
    <t xml:space="preserve">  pages={1--24},</t>
  </si>
  <si>
    <t xml:space="preserve">  year={1992},</t>
  </si>
  <si>
    <t xml:space="preserve">  doi = {10.1016/0360-5442(92)90029-Y},</t>
  </si>
  <si>
    <t>@article{holmberg2012global,</t>
  </si>
  <si>
    <t xml:space="preserve">  title={Global energy consumption due to friction in passenger cars},</t>
  </si>
  <si>
    <t xml:space="preserve">  author={Holmberg, Kenneth and Andersson, Peter and Erdemir, Ali},</t>
  </si>
  <si>
    <t xml:space="preserve">  journal={Tribology international},</t>
  </si>
  <si>
    <t xml:space="preserve">  volume={47},</t>
  </si>
  <si>
    <t xml:space="preserve">  pages={221--234},</t>
  </si>
  <si>
    <t xml:space="preserve">  doi = {10.1016/j.triboint.2011.11.02},</t>
  </si>
  <si>
    <t/>
  </si>
  <si>
    <t>CAN</t>
  </si>
  <si>
    <t>BHR</t>
  </si>
  <si>
    <t>ARE</t>
  </si>
  <si>
    <t>QAT</t>
  </si>
  <si>
    <t>RUS</t>
  </si>
  <si>
    <t>AUS</t>
  </si>
  <si>
    <t>BRA</t>
  </si>
  <si>
    <t>MEX</t>
  </si>
  <si>
    <t>ETH</t>
  </si>
  <si>
    <t>EGY</t>
  </si>
  <si>
    <t>ZAF</t>
  </si>
  <si>
    <t>ARG</t>
  </si>
  <si>
    <t>IDN</t>
  </si>
  <si>
    <t>EUR</t>
  </si>
  <si>
    <t>IND</t>
  </si>
  <si>
    <t>JPN</t>
  </si>
  <si>
    <t>Gasoline LDVs</t>
  </si>
  <si>
    <t>GBR</t>
  </si>
  <si>
    <t>E</t>
  </si>
  <si>
    <t>Final</t>
  </si>
  <si>
    <t>PCM</t>
  </si>
  <si>
    <t>eta.fu</t>
  </si>
  <si>
    <t>RoP</t>
  </si>
  <si>
    <t>CHNM</t>
  </si>
  <si>
    <t>WRLD</t>
  </si>
  <si>
    <t>@misc{icct2014,</t>
  </si>
  <si>
    <t>@misc{eia2021road,</t>
  </si>
  <si>
    <t xml:space="preserve"> @misc{dft2020,</t>
  </si>
  <si>
    <t>@inproceedings{carnahan1975,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</si>
</sst>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164" formatCode="0.0"/>
    <numFmt numFmtId="165" formatCode="0.000"/>
    <numFmt numFmtId="166" formatCode="General_)"/>
    <numFmt numFmtId="167" formatCode="0.0%"/>
    <numFmt numFmtId="168" formatCode="#,##0.0"/>
    <numFmt numFmtId="169" formatCode="0.0000"/>
    <numFmt numFmtId="170" formatCode="[&gt;0.5]#,##0;[&lt;-0.5]&quot;-&quot;#,##0;&quot;-&quot;"/>
    <numFmt numFmtId="171" formatCode="0&quot; &quot;"/>
    <numFmt numFmtId="172" formatCode="#,##0.00;\-#,##0.00;&quot;-&quot;"/>
    <numFmt numFmtId="173" formatCode="#,##0.000;\-#,##0.000;&quot;-&quot;"/>
    <numFmt numFmtId="174" formatCode="#,##0.0;\-#,##0.0;&quot;-&quot;"/>
    <numFmt numFmtId="175" formatCode="0.00%;\-0.00%;&quot;-&quot;"/>
  </numFmts>
  <fonts count="69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sz val="12"/>
      <name val="Arial"/>
      <family val="2"/>
    </font>
    <font>
      <b/>
      <sz val="1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0"/>
      <color rgb="FF000000"/>
      <name val="Arial Unicode MS"/>
      <family val="2"/>
    </font>
    <font>
      <sz val="11"/>
      <color rgb="FF000000"/>
      <name val="Calibri"/>
      <family val="2"/>
    </font>
    <font>
      <b/>
      <sz val="14"/>
      <color rgb="FF000000"/>
      <name val="Calibri"/>
      <family val="2"/>
    </font>
    <font>
      <i/>
      <sz val="14"/>
      <color rgb="FF000000"/>
      <name val="Calibri"/>
      <family val="2"/>
    </font>
    <font>
      <b/>
      <u/>
      <sz val="10"/>
      <color rgb="FF0000FF"/>
      <name val="Calibri"/>
      <family val="2"/>
    </font>
    <font>
      <b/>
      <sz val="12"/>
      <color rgb="FF000000"/>
      <name val="Calibri"/>
      <family val="2"/>
    </font>
    <font>
      <b/>
      <sz val="10"/>
      <color rgb="FF000000"/>
      <name val="Calibri"/>
      <family val="2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sz val="11"/>
      <color rgb="FF000000"/>
      <name val="Arial"/>
      <family val="2"/>
    </font>
    <font>
      <i/>
      <sz val="11"/>
      <color rgb="FF222222"/>
      <name val="Arial"/>
      <family val="2"/>
    </font>
    <font>
      <sz val="11"/>
      <color rgb="FF222222"/>
      <name val="Arial"/>
      <family val="2"/>
    </font>
    <font>
      <sz val="12"/>
      <color rgb="FF222222"/>
      <name val="Arial"/>
      <family val="2"/>
    </font>
    <font>
      <b/>
      <sz val="12"/>
      <color rgb="FF222222"/>
      <name val="Arial"/>
      <family val="2"/>
    </font>
    <font>
      <u/>
      <sz val="8.1999999999999993"/>
      <color indexed="12"/>
      <name val="Times New Roman"/>
      <family val="1"/>
    </font>
    <font>
      <u/>
      <sz val="12"/>
      <color indexed="12"/>
      <name val="Times New Roman"/>
      <family val="1"/>
    </font>
    <font>
      <sz val="10"/>
      <name val="Tms Rmn"/>
    </font>
    <font>
      <b/>
      <sz val="12"/>
      <name val="Arial"/>
      <family val="2"/>
    </font>
    <font>
      <u/>
      <sz val="11"/>
      <color indexed="12"/>
      <name val="Arial"/>
      <family val="2"/>
    </font>
    <font>
      <b/>
      <i/>
      <sz val="10"/>
      <name val="Arial"/>
      <family val="2"/>
    </font>
    <font>
      <sz val="8"/>
      <name val="Arial"/>
      <family val="2"/>
    </font>
    <font>
      <sz val="10"/>
      <name val="Times New Roman"/>
      <family val="1"/>
    </font>
    <font>
      <i/>
      <sz val="10"/>
      <name val="Arial"/>
      <family val="2"/>
    </font>
    <font>
      <vertAlign val="superscript"/>
      <sz val="10"/>
      <name val="Arial"/>
      <family val="2"/>
    </font>
    <font>
      <vertAlign val="superscript"/>
      <sz val="8"/>
      <name val="Arial"/>
      <family val="2"/>
    </font>
    <font>
      <sz val="10"/>
      <color rgb="FF000000"/>
      <name val="Arial"/>
      <family val="2"/>
    </font>
    <font>
      <b/>
      <sz val="12"/>
      <color rgb="FF000000"/>
      <name val="Arial"/>
      <family val="2"/>
    </font>
    <font>
      <sz val="12"/>
      <color rgb="FF000000"/>
      <name val="Arial"/>
      <family val="2"/>
    </font>
    <font>
      <u/>
      <sz val="8"/>
      <color rgb="FF0000FF"/>
      <name val="Times New Roman"/>
      <family val="1"/>
    </font>
    <font>
      <u/>
      <sz val="10"/>
      <color rgb="FF0000FF"/>
      <name val="Arial"/>
      <family val="2"/>
    </font>
    <font>
      <b/>
      <sz val="12"/>
      <color rgb="FF008080"/>
      <name val="Arial"/>
      <family val="2"/>
    </font>
    <font>
      <sz val="14"/>
      <color rgb="FF000000"/>
      <name val="Arial"/>
      <family val="2"/>
    </font>
    <font>
      <sz val="8"/>
      <color rgb="FF000000"/>
      <name val="Arial"/>
      <family val="2"/>
    </font>
    <font>
      <b/>
      <sz val="10"/>
      <color rgb="FF000000"/>
      <name val="Arial"/>
      <family val="2"/>
    </font>
    <font>
      <b/>
      <vertAlign val="superscript"/>
      <sz val="10"/>
      <color rgb="FF000000"/>
      <name val="Arial"/>
      <family val="2"/>
    </font>
    <font>
      <sz val="10"/>
      <color rgb="FF000000"/>
      <name val="Times New Roman"/>
      <family val="1"/>
    </font>
    <font>
      <sz val="10"/>
      <color rgb="FF000000"/>
      <name val="Tms Rmn"/>
    </font>
    <font>
      <b/>
      <vertAlign val="superscript"/>
      <sz val="12"/>
      <color rgb="FF000000"/>
      <name val="Arial"/>
      <family val="2"/>
    </font>
    <font>
      <b/>
      <vertAlign val="superscript"/>
      <sz val="11"/>
      <color rgb="FF000000"/>
      <name val="Arial"/>
      <family val="2"/>
    </font>
    <font>
      <i/>
      <sz val="10"/>
      <color rgb="FF000000"/>
      <name val="Arial"/>
      <family val="2"/>
    </font>
    <font>
      <b/>
      <sz val="10"/>
      <color rgb="FFFF0000"/>
      <name val="Arial"/>
      <family val="2"/>
    </font>
    <font>
      <b/>
      <sz val="15"/>
      <color indexed="56"/>
      <name val="Calibri"/>
      <family val="2"/>
    </font>
    <font>
      <b/>
      <sz val="10"/>
      <color rgb="FF000000"/>
      <name val="Calibri"/>
      <family val="2"/>
    </font>
    <font>
      <sz val="10"/>
      <name val="Arial"/>
      <family val="2"/>
      <charset val="161"/>
    </font>
    <font>
      <b/>
      <sz val="10"/>
      <color theme="5" tint="-0.249977111117893"/>
      <name val="Calibri"/>
      <family val="2"/>
      <scheme val="minor"/>
    </font>
    <font>
      <b/>
      <sz val="8"/>
      <color theme="3" tint="-0.499984740745262"/>
      <name val="Calibri"/>
      <family val="2"/>
      <scheme val="minor"/>
    </font>
    <font>
      <sz val="8"/>
      <color theme="3" tint="-0.499984740745262"/>
      <name val="Calibri"/>
      <family val="2"/>
      <scheme val="minor"/>
    </font>
    <font>
      <b/>
      <sz val="8"/>
      <color rgb="FF002060"/>
      <name val="Calibri"/>
      <family val="2"/>
      <scheme val="minor"/>
    </font>
    <font>
      <sz val="8"/>
      <color rgb="FF002060"/>
      <name val="Calibri"/>
      <family val="2"/>
      <scheme val="minor"/>
    </font>
    <font>
      <i/>
      <sz val="8"/>
      <color rgb="FF002060"/>
      <name val="Calibri"/>
      <family val="2"/>
      <scheme val="minor"/>
    </font>
    <font>
      <sz val="8"/>
      <color rgb="FFC00000"/>
      <name val="Calibri"/>
      <family val="2"/>
      <scheme val="minor"/>
    </font>
    <font>
      <i/>
      <sz val="8"/>
      <color theme="3" tint="-0.499984740745262"/>
      <name val="Calibri"/>
      <family val="2"/>
      <scheme val="minor"/>
    </font>
    <font>
      <b/>
      <sz val="10"/>
      <color rgb="FF002060"/>
      <name val="Calibri"/>
      <family val="2"/>
      <scheme val="minor"/>
    </font>
    <font>
      <sz val="10"/>
      <name val="Calibri"/>
      <family val="2"/>
      <scheme val="minor"/>
    </font>
    <font>
      <sz val="10"/>
      <color theme="3" tint="-0.499984740745262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0"/>
      <color theme="1"/>
      <name val="Arial Unicode MS"/>
      <family val="2"/>
    </font>
    <font>
      <sz val="11"/>
      <color theme="9"/>
      <name val="Calibri"/>
      <family val="2"/>
      <scheme val="minor"/>
    </font>
    <font>
      <sz val="10"/>
      <color theme="9"/>
      <name val="Arial Unicode MS"/>
      <family val="2"/>
    </font>
  </fonts>
  <fills count="28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DC97FF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indexed="9"/>
        <bgColor indexed="9"/>
      </patternFill>
    </fill>
    <fill>
      <patternFill patternType="solid">
        <fgColor indexed="9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rgb="FFFFFFFF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dashed">
        <color indexed="64"/>
      </bottom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/>
      <top/>
      <bottom style="dashed">
        <color rgb="FF00000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</borders>
  <cellStyleXfs count="23">
    <xf numFmtId="0" fontId="0" fillId="0" borderId="0"/>
    <xf numFmtId="0" fontId="3" fillId="0" borderId="0"/>
    <xf numFmtId="0" fontId="5" fillId="0" borderId="0"/>
    <xf numFmtId="0" fontId="6" fillId="0" borderId="0" applyNumberFormat="0" applyFill="0" applyBorder="0" applyAlignment="0" applyProtection="0"/>
    <xf numFmtId="0" fontId="8" fillId="0" borderId="0"/>
    <xf numFmtId="9" fontId="14" fillId="0" borderId="0" applyFont="0" applyFill="0" applyBorder="0" applyAlignment="0" applyProtection="0"/>
    <xf numFmtId="0" fontId="15" fillId="0" borderId="0"/>
    <xf numFmtId="0" fontId="14" fillId="0" borderId="0"/>
    <xf numFmtId="0" fontId="17" fillId="0" borderId="0"/>
    <xf numFmtId="0" fontId="14" fillId="0" borderId="0"/>
    <xf numFmtId="0" fontId="23" fillId="0" borderId="0" applyNumberFormat="0" applyFill="0" applyBorder="0" applyAlignment="0" applyProtection="0">
      <alignment vertical="top"/>
      <protection locked="0"/>
    </xf>
    <xf numFmtId="166" fontId="25" fillId="0" borderId="0"/>
    <xf numFmtId="9" fontId="14" fillId="0" borderId="0" applyFont="0" applyFill="0" applyBorder="0" applyAlignment="0" applyProtection="0"/>
    <xf numFmtId="9" fontId="15" fillId="0" borderId="0" applyFont="0" applyFill="0" applyBorder="0" applyAlignment="0" applyProtection="0"/>
    <xf numFmtId="0" fontId="29" fillId="0" borderId="0"/>
    <xf numFmtId="168" fontId="30" fillId="0" borderId="0"/>
    <xf numFmtId="0" fontId="1" fillId="0" borderId="0"/>
    <xf numFmtId="0" fontId="34" fillId="0" borderId="0" applyNumberFormat="0" applyBorder="0" applyProtection="0"/>
    <xf numFmtId="0" fontId="37" fillId="0" borderId="0" applyNumberFormat="0" applyFill="0" applyBorder="0" applyAlignment="0" applyProtection="0"/>
    <xf numFmtId="170" fontId="40" fillId="0" borderId="0" applyBorder="0" applyProtection="0">
      <alignment horizontal="left" vertical="center"/>
    </xf>
    <xf numFmtId="168" fontId="44" fillId="0" borderId="0" applyBorder="0" applyProtection="0"/>
    <xf numFmtId="0" fontId="45" fillId="0" borderId="0" applyNumberFormat="0" applyBorder="0" applyProtection="0"/>
    <xf numFmtId="0" fontId="52" fillId="0" borderId="0"/>
  </cellStyleXfs>
  <cellXfs count="313">
    <xf numFmtId="0" fontId="0" fillId="0" borderId="0" xfId="0"/>
    <xf numFmtId="0" fontId="4" fillId="0" borderId="1" xfId="1" applyFont="1" applyBorder="1" applyAlignment="1">
      <alignment horizontal="center"/>
    </xf>
    <xf numFmtId="0" fontId="0" fillId="0" borderId="0" xfId="0" applyAlignment="1">
      <alignment horizontal="center"/>
    </xf>
    <xf numFmtId="10" fontId="0" fillId="0" borderId="0" xfId="0" applyNumberFormat="1" applyAlignment="1">
      <alignment horizontal="center"/>
    </xf>
    <xf numFmtId="0" fontId="6" fillId="0" borderId="0" xfId="3" applyAlignment="1">
      <alignment vertical="center"/>
    </xf>
    <xf numFmtId="0" fontId="6" fillId="0" borderId="0" xfId="3"/>
    <xf numFmtId="0" fontId="7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0" fillId="7" borderId="0" xfId="0" applyFill="1"/>
    <xf numFmtId="2" fontId="0" fillId="0" borderId="0" xfId="0" applyNumberFormat="1"/>
    <xf numFmtId="1" fontId="0" fillId="0" borderId="0" xfId="0" applyNumberFormat="1"/>
    <xf numFmtId="0" fontId="0" fillId="8" borderId="0" xfId="0" applyFill="1"/>
    <xf numFmtId="1" fontId="2" fillId="0" borderId="0" xfId="0" applyNumberFormat="1" applyFont="1"/>
    <xf numFmtId="0" fontId="0" fillId="8" borderId="0" xfId="0" applyFill="1" applyAlignment="1">
      <alignment horizontal="center"/>
    </xf>
    <xf numFmtId="0" fontId="2" fillId="0" borderId="0" xfId="0" applyFont="1"/>
    <xf numFmtId="0" fontId="0" fillId="9" borderId="0" xfId="0" applyFill="1"/>
    <xf numFmtId="0" fontId="0" fillId="5" borderId="0" xfId="0" applyFill="1"/>
    <xf numFmtId="0" fontId="0" fillId="10" borderId="0" xfId="0" applyFill="1"/>
    <xf numFmtId="0" fontId="0" fillId="11" borderId="0" xfId="0" applyFill="1"/>
    <xf numFmtId="1" fontId="2" fillId="12" borderId="0" xfId="0" applyNumberFormat="1" applyFont="1" applyFill="1"/>
    <xf numFmtId="0" fontId="0" fillId="12" borderId="0" xfId="0" applyFill="1"/>
    <xf numFmtId="164" fontId="0" fillId="0" borderId="0" xfId="0" applyNumberFormat="1"/>
    <xf numFmtId="0" fontId="0" fillId="0" borderId="0" xfId="0" applyFill="1"/>
    <xf numFmtId="0" fontId="0" fillId="0" borderId="0" xfId="0" applyAlignment="1">
      <alignment wrapText="1"/>
    </xf>
    <xf numFmtId="2" fontId="0" fillId="0" borderId="0" xfId="0" applyNumberFormat="1" applyAlignment="1">
      <alignment wrapText="1"/>
    </xf>
    <xf numFmtId="2" fontId="0" fillId="13" borderId="0" xfId="0" applyNumberFormat="1" applyFill="1" applyAlignment="1">
      <alignment wrapText="1"/>
    </xf>
    <xf numFmtId="0" fontId="8" fillId="0" borderId="0" xfId="4"/>
    <xf numFmtId="0" fontId="0" fillId="0" borderId="0" xfId="0" applyAlignment="1">
      <alignment horizontal="right"/>
    </xf>
    <xf numFmtId="0" fontId="8" fillId="0" borderId="0" xfId="4" applyAlignment="1">
      <alignment wrapText="1"/>
    </xf>
    <xf numFmtId="0" fontId="13" fillId="0" borderId="0" xfId="4" applyFont="1" applyAlignment="1">
      <alignment wrapText="1"/>
    </xf>
    <xf numFmtId="0" fontId="8" fillId="0" borderId="0" xfId="4" applyAlignment="1">
      <alignment horizontal="left" wrapText="1"/>
    </xf>
    <xf numFmtId="0" fontId="9" fillId="0" borderId="0" xfId="4" applyFont="1" applyAlignment="1"/>
    <xf numFmtId="0" fontId="10" fillId="0" borderId="0" xfId="4" applyFont="1" applyAlignment="1"/>
    <xf numFmtId="0" fontId="8" fillId="0" borderId="0" xfId="4" applyAlignment="1"/>
    <xf numFmtId="0" fontId="11" fillId="0" borderId="0" xfId="4" applyFont="1" applyAlignment="1"/>
    <xf numFmtId="0" fontId="12" fillId="0" borderId="0" xfId="4" applyFont="1" applyAlignment="1"/>
    <xf numFmtId="2" fontId="8" fillId="0" borderId="0" xfId="4" applyNumberFormat="1" applyAlignment="1">
      <alignment wrapText="1"/>
    </xf>
    <xf numFmtId="0" fontId="16" fillId="0" borderId="0" xfId="6" applyFont="1"/>
    <xf numFmtId="0" fontId="14" fillId="0" borderId="0" xfId="7"/>
    <xf numFmtId="0" fontId="14" fillId="14" borderId="0" xfId="7" applyFont="1" applyFill="1"/>
    <xf numFmtId="0" fontId="15" fillId="0" borderId="0" xfId="6" applyFont="1"/>
    <xf numFmtId="0" fontId="18" fillId="14" borderId="0" xfId="8" applyFont="1" applyFill="1"/>
    <xf numFmtId="0" fontId="14" fillId="0" borderId="0" xfId="9"/>
    <xf numFmtId="0" fontId="19" fillId="14" borderId="0" xfId="8" applyFont="1" applyFill="1" applyAlignment="1">
      <alignment vertical="center"/>
    </xf>
    <xf numFmtId="0" fontId="15" fillId="0" borderId="0" xfId="8" applyFont="1"/>
    <xf numFmtId="0" fontId="14" fillId="0" borderId="0" xfId="9" applyFont="1"/>
    <xf numFmtId="0" fontId="14" fillId="0" borderId="0" xfId="7" applyFont="1"/>
    <xf numFmtId="0" fontId="15" fillId="0" borderId="0" xfId="6" applyFont="1" applyFill="1"/>
    <xf numFmtId="0" fontId="17" fillId="0" borderId="0" xfId="8"/>
    <xf numFmtId="0" fontId="21" fillId="12" borderId="0" xfId="8" applyFont="1" applyFill="1"/>
    <xf numFmtId="0" fontId="14" fillId="12" borderId="0" xfId="7" applyFill="1"/>
    <xf numFmtId="0" fontId="2" fillId="0" borderId="0" xfId="7" applyFont="1"/>
    <xf numFmtId="165" fontId="14" fillId="0" borderId="0" xfId="7" applyNumberFormat="1"/>
    <xf numFmtId="0" fontId="14" fillId="0" borderId="2" xfId="7" applyBorder="1"/>
    <xf numFmtId="0" fontId="14" fillId="0" borderId="0" xfId="7" applyFont="1" applyFill="1"/>
    <xf numFmtId="0" fontId="24" fillId="0" borderId="0" xfId="10" applyFont="1" applyAlignment="1" applyProtection="1"/>
    <xf numFmtId="0" fontId="27" fillId="0" borderId="0" xfId="10" applyFont="1" applyAlignment="1" applyProtection="1"/>
    <xf numFmtId="166" fontId="16" fillId="0" borderId="1" xfId="11" applyFont="1" applyBorder="1" applyAlignment="1">
      <alignment vertical="center"/>
    </xf>
    <xf numFmtId="3" fontId="16" fillId="0" borderId="1" xfId="11" applyNumberFormat="1" applyFont="1" applyBorder="1" applyAlignment="1">
      <alignment vertical="center"/>
    </xf>
    <xf numFmtId="164" fontId="16" fillId="0" borderId="1" xfId="11" applyNumberFormat="1" applyFont="1" applyBorder="1" applyAlignment="1">
      <alignment vertical="center"/>
    </xf>
    <xf numFmtId="164" fontId="28" fillId="0" borderId="1" xfId="11" applyNumberFormat="1" applyFont="1" applyBorder="1" applyAlignment="1">
      <alignment horizontal="right" vertical="center"/>
    </xf>
    <xf numFmtId="166" fontId="16" fillId="0" borderId="0" xfId="11" applyFont="1" applyBorder="1" applyAlignment="1">
      <alignment vertical="center"/>
    </xf>
    <xf numFmtId="3" fontId="16" fillId="0" borderId="0" xfId="11" applyNumberFormat="1" applyFont="1" applyBorder="1" applyAlignment="1">
      <alignment vertical="center"/>
    </xf>
    <xf numFmtId="164" fontId="16" fillId="0" borderId="0" xfId="11" applyNumberFormat="1" applyFont="1" applyBorder="1" applyAlignment="1">
      <alignment vertical="center"/>
    </xf>
    <xf numFmtId="164" fontId="28" fillId="0" borderId="0" xfId="11" applyNumberFormat="1" applyFont="1" applyBorder="1" applyAlignment="1">
      <alignment horizontal="right" vertical="center"/>
    </xf>
    <xf numFmtId="0" fontId="2" fillId="0" borderId="2" xfId="7" applyFont="1" applyBorder="1"/>
    <xf numFmtId="0" fontId="14" fillId="0" borderId="0" xfId="7" applyFont="1" applyAlignment="1">
      <alignment horizontal="right"/>
    </xf>
    <xf numFmtId="10" fontId="0" fillId="0" borderId="0" xfId="12" applyNumberFormat="1" applyFont="1"/>
    <xf numFmtId="10" fontId="0" fillId="12" borderId="0" xfId="12" applyNumberFormat="1" applyFont="1" applyFill="1"/>
    <xf numFmtId="0" fontId="14" fillId="15" borderId="0" xfId="7" applyFill="1"/>
    <xf numFmtId="0" fontId="14" fillId="15" borderId="0" xfId="7" applyFont="1" applyFill="1" applyAlignment="1">
      <alignment horizontal="right"/>
    </xf>
    <xf numFmtId="0" fontId="14" fillId="15" borderId="0" xfId="9" applyFont="1" applyFill="1" applyAlignment="1">
      <alignment horizontal="right"/>
    </xf>
    <xf numFmtId="10" fontId="14" fillId="15" borderId="0" xfId="13" applyNumberFormat="1" applyFont="1" applyFill="1"/>
    <xf numFmtId="0" fontId="14" fillId="15" borderId="2" xfId="7" applyFill="1" applyBorder="1"/>
    <xf numFmtId="10" fontId="14" fillId="10" borderId="0" xfId="13" applyNumberFormat="1" applyFont="1" applyFill="1"/>
    <xf numFmtId="0" fontId="14" fillId="15" borderId="0" xfId="7" applyFont="1" applyFill="1"/>
    <xf numFmtId="165" fontId="14" fillId="15" borderId="0" xfId="13" applyNumberFormat="1" applyFont="1" applyFill="1"/>
    <xf numFmtId="165" fontId="14" fillId="16" borderId="2" xfId="13" applyNumberFormat="1" applyFont="1" applyFill="1" applyBorder="1"/>
    <xf numFmtId="167" fontId="14" fillId="0" borderId="0" xfId="13" applyNumberFormat="1" applyFont="1"/>
    <xf numFmtId="0" fontId="14" fillId="10" borderId="0" xfId="7" applyFont="1" applyFill="1"/>
    <xf numFmtId="2" fontId="14" fillId="0" borderId="0" xfId="7" applyNumberFormat="1"/>
    <xf numFmtId="0" fontId="17" fillId="0" borderId="0" xfId="8" applyAlignment="1">
      <alignment horizontal="right"/>
    </xf>
    <xf numFmtId="10" fontId="14" fillId="0" borderId="0" xfId="13" applyNumberFormat="1" applyFont="1"/>
    <xf numFmtId="2" fontId="14" fillId="0" borderId="0" xfId="13" applyNumberFormat="1" applyFont="1"/>
    <xf numFmtId="167" fontId="14" fillId="10" borderId="0" xfId="13" applyNumberFormat="1" applyFont="1" applyFill="1"/>
    <xf numFmtId="167" fontId="14" fillId="12" borderId="0" xfId="13" applyNumberFormat="1" applyFont="1" applyFill="1"/>
    <xf numFmtId="0" fontId="14" fillId="0" borderId="0" xfId="7" applyFill="1"/>
    <xf numFmtId="167" fontId="14" fillId="0" borderId="0" xfId="13" applyNumberFormat="1" applyFont="1" applyFill="1"/>
    <xf numFmtId="0" fontId="29" fillId="0" borderId="0" xfId="14"/>
    <xf numFmtId="3" fontId="29" fillId="0" borderId="0" xfId="14" applyNumberFormat="1"/>
    <xf numFmtId="3" fontId="14" fillId="0" borderId="0" xfId="7" applyNumberFormat="1"/>
    <xf numFmtId="3" fontId="14" fillId="12" borderId="0" xfId="7" applyNumberFormat="1" applyFill="1"/>
    <xf numFmtId="0" fontId="29" fillId="0" borderId="0" xfId="14" applyFill="1"/>
    <xf numFmtId="4" fontId="29" fillId="0" borderId="0" xfId="14" applyNumberFormat="1"/>
    <xf numFmtId="4" fontId="29" fillId="12" borderId="0" xfId="14" applyNumberFormat="1" applyFill="1"/>
    <xf numFmtId="4" fontId="14" fillId="0" borderId="0" xfId="7" applyNumberFormat="1"/>
    <xf numFmtId="4" fontId="14" fillId="12" borderId="0" xfId="7" applyNumberFormat="1" applyFill="1"/>
    <xf numFmtId="0" fontId="15" fillId="17" borderId="0" xfId="14" applyFont="1" applyFill="1" applyBorder="1" applyAlignment="1">
      <alignment horizontal="right" wrapText="1"/>
    </xf>
    <xf numFmtId="164" fontId="15" fillId="18" borderId="0" xfId="15" applyNumberFormat="1" applyFont="1" applyFill="1" applyAlignment="1">
      <alignment horizontal="right"/>
    </xf>
    <xf numFmtId="164" fontId="15" fillId="18" borderId="3" xfId="15" applyNumberFormat="1" applyFont="1" applyFill="1" applyBorder="1" applyAlignment="1">
      <alignment horizontal="right"/>
    </xf>
    <xf numFmtId="164" fontId="15" fillId="12" borderId="0" xfId="15" applyNumberFormat="1" applyFont="1" applyFill="1" applyAlignment="1">
      <alignment horizontal="right"/>
    </xf>
    <xf numFmtId="0" fontId="15" fillId="17" borderId="0" xfId="14" applyFont="1" applyFill="1" applyBorder="1" applyAlignment="1" applyProtection="1">
      <alignment horizontal="right" wrapText="1"/>
    </xf>
    <xf numFmtId="0" fontId="15" fillId="0" borderId="0" xfId="14" applyFont="1" applyBorder="1" applyAlignment="1">
      <alignment horizontal="right" wrapText="1"/>
    </xf>
    <xf numFmtId="0" fontId="16" fillId="17" borderId="0" xfId="14" applyFont="1" applyFill="1" applyBorder="1" applyAlignment="1" applyProtection="1">
      <alignment horizontal="right" wrapText="1"/>
    </xf>
    <xf numFmtId="164" fontId="2" fillId="0" borderId="0" xfId="7" applyNumberFormat="1" applyFont="1"/>
    <xf numFmtId="164" fontId="2" fillId="0" borderId="2" xfId="7" applyNumberFormat="1" applyFont="1" applyBorder="1"/>
    <xf numFmtId="0" fontId="2" fillId="0" borderId="2" xfId="7" applyFont="1" applyFill="1" applyBorder="1"/>
    <xf numFmtId="164" fontId="15" fillId="0" borderId="2" xfId="15" applyNumberFormat="1" applyFont="1" applyFill="1" applyBorder="1" applyAlignment="1">
      <alignment horizontal="right"/>
    </xf>
    <xf numFmtId="164" fontId="2" fillId="0" borderId="2" xfId="7" applyNumberFormat="1" applyFont="1" applyFill="1" applyBorder="1"/>
    <xf numFmtId="164" fontId="2" fillId="12" borderId="0" xfId="7" applyNumberFormat="1" applyFont="1" applyFill="1"/>
    <xf numFmtId="2" fontId="14" fillId="2" borderId="0" xfId="7" applyNumberFormat="1" applyFill="1"/>
    <xf numFmtId="2" fontId="1" fillId="0" borderId="0" xfId="16" applyNumberFormat="1" applyBorder="1" applyAlignment="1">
      <alignment vertical="top"/>
    </xf>
    <xf numFmtId="2" fontId="1" fillId="12" borderId="0" xfId="16" applyNumberFormat="1" applyFill="1" applyBorder="1" applyAlignment="1">
      <alignment vertical="top"/>
    </xf>
    <xf numFmtId="2" fontId="14" fillId="0" borderId="0" xfId="7" applyNumberFormat="1" applyFill="1"/>
    <xf numFmtId="0" fontId="14" fillId="19" borderId="2" xfId="7" applyFill="1" applyBorder="1"/>
    <xf numFmtId="2" fontId="2" fillId="0" borderId="0" xfId="7" applyNumberFormat="1" applyFont="1"/>
    <xf numFmtId="169" fontId="2" fillId="0" borderId="0" xfId="13" applyNumberFormat="1" applyFont="1"/>
    <xf numFmtId="2" fontId="14" fillId="12" borderId="0" xfId="7" applyNumberFormat="1" applyFill="1"/>
    <xf numFmtId="167" fontId="2" fillId="2" borderId="0" xfId="7" applyNumberFormat="1" applyFont="1" applyFill="1"/>
    <xf numFmtId="2" fontId="2" fillId="12" borderId="0" xfId="7" applyNumberFormat="1" applyFont="1" applyFill="1"/>
    <xf numFmtId="4" fontId="14" fillId="0" borderId="0" xfId="7" applyNumberFormat="1" applyFont="1"/>
    <xf numFmtId="2" fontId="14" fillId="0" borderId="0" xfId="7" applyNumberFormat="1" applyFont="1"/>
    <xf numFmtId="4" fontId="2" fillId="0" borderId="0" xfId="7" applyNumberFormat="1" applyFont="1"/>
    <xf numFmtId="167" fontId="2" fillId="0" borderId="0" xfId="7" applyNumberFormat="1" applyFont="1"/>
    <xf numFmtId="0" fontId="14" fillId="16" borderId="2" xfId="7" applyFill="1" applyBorder="1"/>
    <xf numFmtId="2" fontId="2" fillId="0" borderId="0" xfId="7" applyNumberFormat="1" applyFont="1" applyFill="1"/>
    <xf numFmtId="169" fontId="2" fillId="13" borderId="0" xfId="13" applyNumberFormat="1" applyFont="1" applyFill="1"/>
    <xf numFmtId="167" fontId="2" fillId="0" borderId="0" xfId="13" applyNumberFormat="1" applyFont="1" applyFill="1"/>
    <xf numFmtId="9" fontId="14" fillId="0" borderId="0" xfId="13" applyNumberFormat="1" applyFont="1"/>
    <xf numFmtId="2" fontId="14" fillId="16" borderId="2" xfId="7" applyNumberFormat="1" applyFill="1" applyBorder="1"/>
    <xf numFmtId="2" fontId="14" fillId="20" borderId="0" xfId="7" applyNumberFormat="1" applyFill="1"/>
    <xf numFmtId="164" fontId="14" fillId="0" borderId="0" xfId="7" applyNumberFormat="1"/>
    <xf numFmtId="0" fontId="14" fillId="12" borderId="0" xfId="7" applyFont="1" applyFill="1"/>
    <xf numFmtId="0" fontId="2" fillId="12" borderId="0" xfId="7" applyFont="1" applyFill="1"/>
    <xf numFmtId="10" fontId="2" fillId="0" borderId="0" xfId="13" applyNumberFormat="1" applyFont="1"/>
    <xf numFmtId="0" fontId="14" fillId="21" borderId="0" xfId="7" applyFont="1" applyFill="1"/>
    <xf numFmtId="168" fontId="2" fillId="21" borderId="0" xfId="7" applyNumberFormat="1" applyFont="1" applyFill="1"/>
    <xf numFmtId="168" fontId="2" fillId="0" borderId="0" xfId="7" applyNumberFormat="1" applyFont="1"/>
    <xf numFmtId="4" fontId="2" fillId="10" borderId="0" xfId="7" applyNumberFormat="1" applyFont="1" applyFill="1"/>
    <xf numFmtId="167" fontId="14" fillId="21" borderId="0" xfId="13" applyNumberFormat="1" applyFont="1" applyFill="1"/>
    <xf numFmtId="167" fontId="14" fillId="0" borderId="2" xfId="13" applyNumberFormat="1" applyFont="1" applyBorder="1"/>
    <xf numFmtId="166" fontId="16" fillId="0" borderId="0" xfId="11" applyFont="1" applyBorder="1"/>
    <xf numFmtId="164" fontId="16" fillId="0" borderId="0" xfId="11" applyNumberFormat="1" applyFont="1" applyBorder="1" applyAlignment="1" applyProtection="1">
      <alignment horizontal="right"/>
    </xf>
    <xf numFmtId="166" fontId="16" fillId="0" borderId="0" xfId="11" applyFont="1" applyBorder="1" applyAlignment="1">
      <alignment horizontal="right"/>
    </xf>
    <xf numFmtId="3" fontId="16" fillId="0" borderId="0" xfId="11" applyNumberFormat="1" applyFont="1" applyBorder="1" applyAlignment="1" applyProtection="1">
      <alignment horizontal="right"/>
    </xf>
    <xf numFmtId="164" fontId="15" fillId="0" borderId="0" xfId="11" applyNumberFormat="1" applyFont="1"/>
    <xf numFmtId="166" fontId="16" fillId="0" borderId="1" xfId="11" applyFont="1" applyBorder="1" applyAlignment="1">
      <alignment vertical="top"/>
    </xf>
    <xf numFmtId="164" fontId="16" fillId="0" borderId="1" xfId="11" applyNumberFormat="1" applyFont="1" applyBorder="1" applyAlignment="1" applyProtection="1">
      <alignment horizontal="right" vertical="top"/>
    </xf>
    <xf numFmtId="164" fontId="16" fillId="0" borderId="0" xfId="11" applyNumberFormat="1" applyFont="1" applyBorder="1" applyAlignment="1" applyProtection="1">
      <alignment horizontal="right" vertical="top"/>
    </xf>
    <xf numFmtId="164" fontId="28" fillId="0" borderId="1" xfId="11" applyNumberFormat="1" applyFont="1" applyBorder="1" applyAlignment="1" applyProtection="1">
      <alignment horizontal="right"/>
    </xf>
    <xf numFmtId="164" fontId="28" fillId="0" borderId="0" xfId="11" applyNumberFormat="1" applyFont="1" applyBorder="1" applyAlignment="1" applyProtection="1">
      <alignment horizontal="right" vertical="top"/>
    </xf>
    <xf numFmtId="166" fontId="15" fillId="0" borderId="0" xfId="11" applyFont="1" applyAlignment="1" applyProtection="1">
      <alignment horizontal="left"/>
    </xf>
    <xf numFmtId="1" fontId="15" fillId="0" borderId="0" xfId="11" applyNumberFormat="1" applyFont="1" applyProtection="1"/>
    <xf numFmtId="3" fontId="15" fillId="0" borderId="0" xfId="11" applyNumberFormat="1" applyFont="1" applyProtection="1"/>
    <xf numFmtId="1" fontId="31" fillId="0" borderId="0" xfId="11" applyNumberFormat="1" applyFont="1" applyProtection="1"/>
    <xf numFmtId="1" fontId="32" fillId="0" borderId="0" xfId="11" applyNumberFormat="1" applyFont="1" applyProtection="1"/>
    <xf numFmtId="1" fontId="33" fillId="0" borderId="0" xfId="11" applyNumberFormat="1" applyFont="1" applyProtection="1"/>
    <xf numFmtId="166" fontId="15" fillId="0" borderId="0" xfId="11" applyFont="1" applyFill="1" applyAlignment="1" applyProtection="1">
      <alignment horizontal="left"/>
    </xf>
    <xf numFmtId="166" fontId="15" fillId="0" borderId="0" xfId="11" applyFont="1" applyFill="1" applyBorder="1" applyAlignment="1" applyProtection="1">
      <alignment horizontal="left"/>
    </xf>
    <xf numFmtId="0" fontId="35" fillId="22" borderId="0" xfId="17" applyFont="1" applyFill="1" applyAlignment="1" applyProtection="1"/>
    <xf numFmtId="0" fontId="36" fillId="22" borderId="0" xfId="17" applyFont="1" applyFill="1" applyAlignment="1" applyProtection="1"/>
    <xf numFmtId="0" fontId="39" fillId="22" borderId="0" xfId="17" applyFont="1" applyFill="1" applyAlignment="1" applyProtection="1"/>
    <xf numFmtId="170" fontId="36" fillId="22" borderId="0" xfId="19" applyFont="1" applyFill="1" applyAlignment="1" applyProtection="1">
      <alignment horizontal="left"/>
    </xf>
    <xf numFmtId="170" fontId="41" fillId="22" borderId="0" xfId="19" applyFont="1" applyFill="1" applyAlignment="1" applyProtection="1">
      <alignment horizontal="left"/>
    </xf>
    <xf numFmtId="0" fontId="42" fillId="22" borderId="4" xfId="17" applyFont="1" applyFill="1" applyBorder="1" applyAlignment="1" applyProtection="1">
      <alignment horizontal="left" vertical="top"/>
    </xf>
    <xf numFmtId="0" fontId="34" fillId="22" borderId="4" xfId="17" applyFont="1" applyFill="1" applyBorder="1" applyAlignment="1" applyProtection="1"/>
    <xf numFmtId="0" fontId="34" fillId="0" borderId="4" xfId="17" applyFont="1" applyFill="1" applyBorder="1" applyAlignment="1" applyProtection="1"/>
    <xf numFmtId="0" fontId="34" fillId="22" borderId="4" xfId="17" applyFont="1" applyFill="1" applyBorder="1" applyAlignment="1" applyProtection="1">
      <alignment horizontal="right"/>
    </xf>
    <xf numFmtId="0" fontId="34" fillId="22" borderId="0" xfId="17" applyFont="1" applyFill="1" applyAlignment="1" applyProtection="1"/>
    <xf numFmtId="0" fontId="42" fillId="22" borderId="5" xfId="17" applyFont="1" applyFill="1" applyBorder="1" applyAlignment="1" applyProtection="1">
      <alignment horizontal="left" vertical="top"/>
    </xf>
    <xf numFmtId="0" fontId="34" fillId="22" borderId="5" xfId="17" applyFont="1" applyFill="1" applyBorder="1" applyAlignment="1" applyProtection="1"/>
    <xf numFmtId="0" fontId="42" fillId="22" borderId="4" xfId="17" applyFont="1" applyFill="1" applyBorder="1" applyAlignment="1" applyProtection="1">
      <alignment horizontal="left" wrapText="1"/>
    </xf>
    <xf numFmtId="0" fontId="42" fillId="22" borderId="4" xfId="17" applyFont="1" applyFill="1" applyBorder="1" applyAlignment="1" applyProtection="1">
      <alignment horizontal="right" wrapText="1"/>
    </xf>
    <xf numFmtId="0" fontId="42" fillId="22" borderId="4" xfId="6" applyFont="1" applyFill="1" applyBorder="1" applyAlignment="1" applyProtection="1">
      <alignment horizontal="right" wrapText="1"/>
    </xf>
    <xf numFmtId="0" fontId="42" fillId="22" borderId="0" xfId="6" applyFont="1" applyFill="1" applyAlignment="1" applyProtection="1">
      <alignment horizontal="left"/>
    </xf>
    <xf numFmtId="168" fontId="34" fillId="22" borderId="0" xfId="15" applyFont="1" applyFill="1" applyAlignment="1" applyProtection="1">
      <alignment horizontal="left"/>
    </xf>
    <xf numFmtId="164" fontId="34" fillId="22" borderId="0" xfId="15" applyNumberFormat="1" applyFont="1" applyFill="1" applyAlignment="1" applyProtection="1">
      <alignment horizontal="right"/>
    </xf>
    <xf numFmtId="164" fontId="42" fillId="22" borderId="0" xfId="15" applyNumberFormat="1" applyFont="1" applyFill="1" applyAlignment="1" applyProtection="1">
      <alignment horizontal="right"/>
    </xf>
    <xf numFmtId="168" fontId="44" fillId="22" borderId="0" xfId="20" applyFont="1" applyFill="1" applyAlignment="1" applyProtection="1"/>
    <xf numFmtId="0" fontId="42" fillId="22" borderId="7" xfId="6" applyFont="1" applyFill="1" applyBorder="1" applyAlignment="1" applyProtection="1">
      <alignment horizontal="left"/>
    </xf>
    <xf numFmtId="168" fontId="34" fillId="22" borderId="7" xfId="15" applyFont="1" applyFill="1" applyBorder="1" applyAlignment="1" applyProtection="1">
      <alignment horizontal="left"/>
    </xf>
    <xf numFmtId="0" fontId="46" fillId="22" borderId="0" xfId="21" applyFont="1" applyFill="1" applyAlignment="1" applyProtection="1">
      <alignment horizontal="left"/>
    </xf>
    <xf numFmtId="0" fontId="47" fillId="22" borderId="0" xfId="21" applyFont="1" applyFill="1" applyAlignment="1" applyProtection="1">
      <alignment horizontal="left"/>
    </xf>
    <xf numFmtId="0" fontId="42" fillId="22" borderId="0" xfId="15" applyNumberFormat="1" applyFont="1" applyFill="1" applyAlignment="1" applyProtection="1">
      <alignment horizontal="left"/>
    </xf>
    <xf numFmtId="171" fontId="34" fillId="22" borderId="4" xfId="20" applyNumberFormat="1" applyFont="1" applyFill="1" applyBorder="1" applyAlignment="1" applyProtection="1">
      <alignment horizontal="right"/>
    </xf>
    <xf numFmtId="168" fontId="34" fillId="22" borderId="4" xfId="20" applyFont="1" applyFill="1" applyBorder="1" applyAlignment="1" applyProtection="1">
      <alignment horizontal="left"/>
    </xf>
    <xf numFmtId="1" fontId="48" fillId="22" borderId="4" xfId="20" applyNumberFormat="1" applyFont="1" applyFill="1" applyBorder="1" applyAlignment="1" applyProtection="1">
      <alignment horizontal="right"/>
    </xf>
    <xf numFmtId="171" fontId="34" fillId="22" borderId="0" xfId="6" applyNumberFormat="1" applyFont="1" applyFill="1" applyAlignment="1" applyProtection="1">
      <alignment horizontal="left"/>
    </xf>
    <xf numFmtId="168" fontId="34" fillId="22" borderId="0" xfId="20" applyFont="1" applyFill="1" applyAlignment="1" applyProtection="1">
      <alignment horizontal="left"/>
    </xf>
    <xf numFmtId="164" fontId="34" fillId="22" borderId="0" xfId="20" applyNumberFormat="1" applyFont="1" applyFill="1" applyAlignment="1" applyProtection="1"/>
    <xf numFmtId="168" fontId="34" fillId="22" borderId="0" xfId="20" applyFont="1" applyFill="1" applyAlignment="1" applyProtection="1"/>
    <xf numFmtId="168" fontId="34" fillId="22" borderId="0" xfId="20" applyFont="1" applyFill="1" applyAlignment="1" applyProtection="1">
      <alignment horizontal="right"/>
    </xf>
    <xf numFmtId="0" fontId="34" fillId="22" borderId="0" xfId="17" applyFont="1" applyFill="1" applyAlignment="1" applyProtection="1">
      <alignment horizontal="right"/>
    </xf>
    <xf numFmtId="164" fontId="34" fillId="22" borderId="0" xfId="20" applyNumberFormat="1" applyFont="1" applyFill="1" applyAlignment="1" applyProtection="1">
      <alignment horizontal="right"/>
    </xf>
    <xf numFmtId="0" fontId="34" fillId="22" borderId="0" xfId="17" applyFont="1" applyFill="1" applyAlignment="1" applyProtection="1">
      <alignment horizontal="right" vertical="top"/>
    </xf>
    <xf numFmtId="0" fontId="34" fillId="22" borderId="0" xfId="6" applyFont="1" applyFill="1" applyAlignment="1" applyProtection="1"/>
    <xf numFmtId="0" fontId="38" fillId="22" borderId="0" xfId="18" applyFont="1" applyFill="1" applyAlignment="1"/>
    <xf numFmtId="168" fontId="44" fillId="22" borderId="0" xfId="20" applyFont="1" applyFill="1" applyAlignment="1" applyProtection="1">
      <alignment horizontal="left"/>
    </xf>
    <xf numFmtId="164" fontId="44" fillId="22" borderId="0" xfId="20" applyNumberFormat="1" applyFont="1" applyFill="1" applyAlignment="1" applyProtection="1"/>
    <xf numFmtId="0" fontId="34" fillId="0" borderId="0" xfId="18" applyFont="1" applyFill="1" applyAlignment="1"/>
    <xf numFmtId="0" fontId="49" fillId="22" borderId="0" xfId="17" applyFont="1" applyFill="1" applyAlignment="1" applyProtection="1"/>
    <xf numFmtId="0" fontId="6" fillId="0" borderId="0" xfId="3" applyAlignment="1" applyProtection="1"/>
    <xf numFmtId="0" fontId="2" fillId="0" borderId="0" xfId="7" applyFont="1" applyAlignment="1">
      <alignment horizontal="right"/>
    </xf>
    <xf numFmtId="0" fontId="2" fillId="13" borderId="0" xfId="7" applyFont="1" applyFill="1"/>
    <xf numFmtId="2" fontId="14" fillId="13" borderId="0" xfId="7" applyNumberFormat="1" applyFont="1" applyFill="1"/>
    <xf numFmtId="0" fontId="0" fillId="0" borderId="0" xfId="0" applyAlignment="1">
      <alignment vertical="top" wrapText="1"/>
    </xf>
    <xf numFmtId="0" fontId="51" fillId="0" borderId="0" xfId="4" applyFont="1" applyAlignment="1">
      <alignment wrapText="1"/>
    </xf>
    <xf numFmtId="164" fontId="8" fillId="0" borderId="0" xfId="4" applyNumberFormat="1" applyAlignment="1">
      <alignment wrapText="1"/>
    </xf>
    <xf numFmtId="0" fontId="8" fillId="13" borderId="0" xfId="4" applyFill="1" applyAlignment="1">
      <alignment wrapText="1"/>
    </xf>
    <xf numFmtId="0" fontId="51" fillId="13" borderId="0" xfId="4" applyFont="1" applyFill="1" applyAlignment="1">
      <alignment wrapText="1"/>
    </xf>
    <xf numFmtId="0" fontId="13" fillId="13" borderId="0" xfId="4" applyFont="1" applyFill="1" applyAlignment="1">
      <alignment wrapText="1"/>
    </xf>
    <xf numFmtId="2" fontId="8" fillId="13" borderId="0" xfId="4" applyNumberFormat="1" applyFill="1" applyAlignment="1">
      <alignment wrapText="1"/>
    </xf>
    <xf numFmtId="0" fontId="53" fillId="19" borderId="8" xfId="22" applyFont="1" applyFill="1" applyBorder="1" applyAlignment="1">
      <alignment horizontal="left" vertical="center"/>
    </xf>
    <xf numFmtId="1" fontId="54" fillId="19" borderId="8" xfId="22" applyNumberFormat="1" applyFont="1" applyFill="1" applyBorder="1" applyAlignment="1">
      <alignment horizontal="center" vertical="center"/>
    </xf>
    <xf numFmtId="0" fontId="55" fillId="11" borderId="0" xfId="22" applyFont="1" applyFill="1" applyAlignment="1">
      <alignment vertical="center"/>
    </xf>
    <xf numFmtId="164" fontId="55" fillId="0" borderId="9" xfId="22" applyNumberFormat="1" applyFont="1" applyBorder="1" applyAlignment="1">
      <alignment vertical="center"/>
    </xf>
    <xf numFmtId="1" fontId="55" fillId="11" borderId="9" xfId="22" applyNumberFormat="1" applyFont="1" applyFill="1" applyBorder="1" applyAlignment="1">
      <alignment vertical="center"/>
    </xf>
    <xf numFmtId="0" fontId="56" fillId="23" borderId="8" xfId="22" applyFont="1" applyFill="1" applyBorder="1" applyAlignment="1">
      <alignment horizontal="left" vertical="center"/>
    </xf>
    <xf numFmtId="3" fontId="57" fillId="23" borderId="8" xfId="22" applyNumberFormat="1" applyFont="1" applyFill="1" applyBorder="1" applyAlignment="1">
      <alignment vertical="center"/>
    </xf>
    <xf numFmtId="0" fontId="58" fillId="24" borderId="8" xfId="22" applyFont="1" applyFill="1" applyBorder="1" applyAlignment="1">
      <alignment horizontal="left" vertical="center" indent="1"/>
    </xf>
    <xf numFmtId="4" fontId="57" fillId="24" borderId="8" xfId="22" applyNumberFormat="1" applyFont="1" applyFill="1" applyBorder="1" applyAlignment="1">
      <alignment vertical="center"/>
    </xf>
    <xf numFmtId="0" fontId="55" fillId="11" borderId="0" xfId="22" applyFont="1" applyFill="1" applyBorder="1" applyAlignment="1">
      <alignment horizontal="left" vertical="center" indent="2"/>
    </xf>
    <xf numFmtId="4" fontId="55" fillId="0" borderId="0" xfId="22" applyNumberFormat="1" applyFont="1" applyBorder="1" applyAlignment="1">
      <alignment vertical="center"/>
    </xf>
    <xf numFmtId="0" fontId="55" fillId="11" borderId="0" xfId="22" applyFont="1" applyFill="1" applyBorder="1" applyAlignment="1">
      <alignment horizontal="left" vertical="center" indent="3"/>
    </xf>
    <xf numFmtId="0" fontId="55" fillId="11" borderId="1" xfId="22" applyFont="1" applyFill="1" applyBorder="1" applyAlignment="1">
      <alignment horizontal="left" vertical="center" indent="2"/>
    </xf>
    <xf numFmtId="4" fontId="55" fillId="0" borderId="1" xfId="22" applyNumberFormat="1" applyFont="1" applyBorder="1" applyAlignment="1">
      <alignment vertical="center"/>
    </xf>
    <xf numFmtId="172" fontId="57" fillId="23" borderId="8" xfId="22" applyNumberFormat="1" applyFont="1" applyFill="1" applyBorder="1" applyAlignment="1">
      <alignment vertical="center"/>
    </xf>
    <xf numFmtId="0" fontId="59" fillId="24" borderId="8" xfId="22" applyFont="1" applyFill="1" applyBorder="1" applyAlignment="1">
      <alignment horizontal="left" vertical="center" indent="1"/>
    </xf>
    <xf numFmtId="172" fontId="59" fillId="24" borderId="8" xfId="22" applyNumberFormat="1" applyFont="1" applyFill="1" applyBorder="1" applyAlignment="1">
      <alignment vertical="center"/>
    </xf>
    <xf numFmtId="0" fontId="55" fillId="11" borderId="9" xfId="22" applyFont="1" applyFill="1" applyBorder="1" applyAlignment="1">
      <alignment horizontal="left" vertical="center" indent="2"/>
    </xf>
    <xf numFmtId="172" fontId="55" fillId="0" borderId="9" xfId="22" applyNumberFormat="1" applyFont="1" applyBorder="1" applyAlignment="1">
      <alignment vertical="center"/>
    </xf>
    <xf numFmtId="0" fontId="60" fillId="11" borderId="10" xfId="22" applyFont="1" applyFill="1" applyBorder="1" applyAlignment="1">
      <alignment horizontal="left" vertical="center" indent="3"/>
    </xf>
    <xf numFmtId="172" fontId="55" fillId="0" borderId="10" xfId="22" applyNumberFormat="1" applyFont="1" applyBorder="1" applyAlignment="1">
      <alignment vertical="center"/>
    </xf>
    <xf numFmtId="0" fontId="55" fillId="11" borderId="11" xfId="22" applyFont="1" applyFill="1" applyBorder="1" applyAlignment="1">
      <alignment horizontal="left" vertical="center" indent="2"/>
    </xf>
    <xf numFmtId="172" fontId="55" fillId="0" borderId="11" xfId="22" applyNumberFormat="1" applyFont="1" applyBorder="1" applyAlignment="1">
      <alignment vertical="center"/>
    </xf>
    <xf numFmtId="0" fontId="55" fillId="11" borderId="0" xfId="22" applyFont="1" applyFill="1" applyAlignment="1">
      <alignment horizontal="left" vertical="center" indent="3"/>
    </xf>
    <xf numFmtId="172" fontId="55" fillId="0" borderId="0" xfId="22" applyNumberFormat="1" applyFont="1" applyAlignment="1">
      <alignment vertical="center"/>
    </xf>
    <xf numFmtId="0" fontId="60" fillId="11" borderId="0" xfId="22" applyFont="1" applyFill="1" applyAlignment="1">
      <alignment horizontal="left" vertical="center" indent="4"/>
    </xf>
    <xf numFmtId="172" fontId="55" fillId="0" borderId="0" xfId="22" applyNumberFormat="1" applyFont="1" applyBorder="1" applyAlignment="1">
      <alignment vertical="center"/>
    </xf>
    <xf numFmtId="0" fontId="55" fillId="11" borderId="12" xfId="22" applyFont="1" applyFill="1" applyBorder="1" applyAlignment="1">
      <alignment horizontal="left" vertical="center" indent="2"/>
    </xf>
    <xf numFmtId="172" fontId="55" fillId="0" borderId="12" xfId="22" applyNumberFormat="1" applyFont="1" applyBorder="1" applyAlignment="1">
      <alignment vertical="center"/>
    </xf>
    <xf numFmtId="0" fontId="60" fillId="11" borderId="1" xfId="22" applyFont="1" applyFill="1" applyBorder="1" applyAlignment="1">
      <alignment horizontal="left" vertical="center" indent="4"/>
    </xf>
    <xf numFmtId="172" fontId="55" fillId="0" borderId="1" xfId="22" applyNumberFormat="1" applyFont="1" applyBorder="1" applyAlignment="1">
      <alignment vertical="center"/>
    </xf>
    <xf numFmtId="0" fontId="61" fillId="25" borderId="8" xfId="22" applyFont="1" applyFill="1" applyBorder="1" applyAlignment="1">
      <alignment horizontal="left" vertical="center"/>
    </xf>
    <xf numFmtId="173" fontId="62" fillId="25" borderId="8" xfId="22" applyNumberFormat="1" applyFont="1" applyFill="1" applyBorder="1" applyAlignment="1">
      <alignment vertical="center"/>
    </xf>
    <xf numFmtId="173" fontId="63" fillId="25" borderId="8" xfId="22" applyNumberFormat="1" applyFont="1" applyFill="1" applyBorder="1" applyAlignment="1">
      <alignment vertical="center"/>
    </xf>
    <xf numFmtId="0" fontId="55" fillId="11" borderId="1" xfId="22" applyFont="1" applyFill="1" applyBorder="1" applyAlignment="1">
      <alignment horizontal="left" vertical="center" indent="3"/>
    </xf>
    <xf numFmtId="174" fontId="57" fillId="23" borderId="8" xfId="22" applyNumberFormat="1" applyFont="1" applyFill="1" applyBorder="1" applyAlignment="1">
      <alignment vertical="center"/>
    </xf>
    <xf numFmtId="174" fontId="59" fillId="24" borderId="8" xfId="22" applyNumberFormat="1" applyFont="1" applyFill="1" applyBorder="1" applyAlignment="1">
      <alignment vertical="center"/>
    </xf>
    <xf numFmtId="174" fontId="55" fillId="0" borderId="12" xfId="22" applyNumberFormat="1" applyFont="1" applyBorder="1" applyAlignment="1">
      <alignment vertical="center"/>
    </xf>
    <xf numFmtId="174" fontId="55" fillId="0" borderId="11" xfId="22" applyNumberFormat="1" applyFont="1" applyBorder="1" applyAlignment="1">
      <alignment vertical="center"/>
    </xf>
    <xf numFmtId="174" fontId="55" fillId="0" borderId="0" xfId="22" applyNumberFormat="1" applyFont="1" applyAlignment="1">
      <alignment vertical="center"/>
    </xf>
    <xf numFmtId="174" fontId="55" fillId="0" borderId="0" xfId="22" applyNumberFormat="1" applyFont="1" applyBorder="1" applyAlignment="1">
      <alignment vertical="center"/>
    </xf>
    <xf numFmtId="174" fontId="55" fillId="0" borderId="1" xfId="22" applyNumberFormat="1" applyFont="1" applyBorder="1" applyAlignment="1">
      <alignment vertical="center"/>
    </xf>
    <xf numFmtId="175" fontId="57" fillId="23" borderId="8" xfId="5" applyNumberFormat="1" applyFont="1" applyFill="1" applyBorder="1" applyAlignment="1">
      <alignment vertical="center"/>
    </xf>
    <xf numFmtId="175" fontId="59" fillId="24" borderId="8" xfId="5" applyNumberFormat="1" applyFont="1" applyFill="1" applyBorder="1" applyAlignment="1">
      <alignment vertical="center"/>
    </xf>
    <xf numFmtId="167" fontId="55" fillId="11" borderId="12" xfId="5" applyNumberFormat="1" applyFont="1" applyFill="1" applyBorder="1" applyAlignment="1">
      <alignment horizontal="left" vertical="center" indent="2"/>
    </xf>
    <xf numFmtId="175" fontId="55" fillId="0" borderId="12" xfId="5" applyNumberFormat="1" applyFont="1" applyBorder="1" applyAlignment="1">
      <alignment vertical="center"/>
    </xf>
    <xf numFmtId="167" fontId="55" fillId="11" borderId="11" xfId="5" applyNumberFormat="1" applyFont="1" applyFill="1" applyBorder="1" applyAlignment="1">
      <alignment horizontal="left" vertical="center" indent="2"/>
    </xf>
    <xf numFmtId="175" fontId="55" fillId="0" borderId="11" xfId="5" applyNumberFormat="1" applyFont="1" applyBorder="1" applyAlignment="1">
      <alignment vertical="center"/>
    </xf>
    <xf numFmtId="167" fontId="55" fillId="11" borderId="0" xfId="5" applyNumberFormat="1" applyFont="1" applyFill="1" applyAlignment="1">
      <alignment horizontal="left" vertical="center" indent="3"/>
    </xf>
    <xf numFmtId="175" fontId="55" fillId="0" borderId="0" xfId="5" applyNumberFormat="1" applyFont="1" applyAlignment="1">
      <alignment vertical="center"/>
    </xf>
    <xf numFmtId="167" fontId="55" fillId="11" borderId="0" xfId="5" applyNumberFormat="1" applyFont="1" applyFill="1" applyBorder="1" applyAlignment="1">
      <alignment horizontal="left" vertical="center" indent="3"/>
    </xf>
    <xf numFmtId="175" fontId="55" fillId="0" borderId="0" xfId="5" applyNumberFormat="1" applyFont="1" applyBorder="1" applyAlignment="1">
      <alignment vertical="center"/>
    </xf>
    <xf numFmtId="167" fontId="55" fillId="11" borderId="1" xfId="5" applyNumberFormat="1" applyFont="1" applyFill="1" applyBorder="1" applyAlignment="1">
      <alignment horizontal="left" vertical="center" indent="3"/>
    </xf>
    <xf numFmtId="175" fontId="55" fillId="0" borderId="1" xfId="5" applyNumberFormat="1" applyFont="1" applyBorder="1" applyAlignment="1">
      <alignment vertical="center"/>
    </xf>
    <xf numFmtId="0" fontId="55" fillId="0" borderId="0" xfId="22" applyFont="1" applyAlignment="1">
      <alignment vertical="center"/>
    </xf>
    <xf numFmtId="2" fontId="0" fillId="13" borderId="0" xfId="0" applyNumberFormat="1" applyFill="1"/>
    <xf numFmtId="164" fontId="14" fillId="0" borderId="0" xfId="7" applyNumberFormat="1" applyFont="1"/>
    <xf numFmtId="164" fontId="2" fillId="26" borderId="0" xfId="7" applyNumberFormat="1" applyFont="1" applyFill="1"/>
    <xf numFmtId="0" fontId="2" fillId="27" borderId="0" xfId="7" applyFont="1" applyFill="1"/>
    <xf numFmtId="3" fontId="2" fillId="27" borderId="0" xfId="7" applyNumberFormat="1" applyFont="1" applyFill="1"/>
    <xf numFmtId="164" fontId="2" fillId="0" borderId="0" xfId="7" applyNumberFormat="1" applyFont="1" applyAlignment="1">
      <alignment horizontal="right"/>
    </xf>
    <xf numFmtId="0" fontId="2" fillId="13" borderId="0" xfId="7" applyFont="1" applyFill="1" applyAlignment="1">
      <alignment horizontal="right"/>
    </xf>
    <xf numFmtId="164" fontId="2" fillId="13" borderId="0" xfId="7" applyNumberFormat="1" applyFont="1" applyFill="1"/>
    <xf numFmtId="164" fontId="2" fillId="16" borderId="0" xfId="7" applyNumberFormat="1" applyFont="1" applyFill="1"/>
    <xf numFmtId="0" fontId="2" fillId="13" borderId="0" xfId="0" applyFont="1" applyFill="1"/>
    <xf numFmtId="0" fontId="0" fillId="13" borderId="0" xfId="0" applyFill="1"/>
    <xf numFmtId="164" fontId="2" fillId="21" borderId="0" xfId="7" applyNumberFormat="1" applyFont="1" applyFill="1"/>
    <xf numFmtId="0" fontId="0" fillId="0" borderId="0" xfId="7" applyFont="1"/>
    <xf numFmtId="164" fontId="14" fillId="13" borderId="0" xfId="7" applyNumberFormat="1" applyFont="1" applyFill="1"/>
    <xf numFmtId="2" fontId="14" fillId="3" borderId="0" xfId="7" applyNumberFormat="1" applyFont="1" applyFill="1" applyBorder="1"/>
    <xf numFmtId="2" fontId="14" fillId="3" borderId="0" xfId="7" applyNumberFormat="1" applyFill="1"/>
    <xf numFmtId="0" fontId="0" fillId="3" borderId="0" xfId="0" applyFill="1"/>
    <xf numFmtId="164" fontId="14" fillId="3" borderId="0" xfId="7" applyNumberFormat="1" applyFont="1" applyFill="1"/>
    <xf numFmtId="2" fontId="0" fillId="3" borderId="0" xfId="0" applyNumberFormat="1" applyFill="1"/>
    <xf numFmtId="0" fontId="0" fillId="0" borderId="0" xfId="9" applyFont="1"/>
    <xf numFmtId="0" fontId="64" fillId="0" borderId="0" xfId="7" applyFont="1"/>
    <xf numFmtId="0" fontId="0" fillId="0" borderId="0" xfId="7" applyFont="1" applyAlignment="1">
      <alignment horizontal="right"/>
    </xf>
    <xf numFmtId="0" fontId="65" fillId="4" borderId="0" xfId="7" applyFont="1" applyFill="1"/>
    <xf numFmtId="0" fontId="65" fillId="4" borderId="0" xfId="7" applyFont="1" applyFill="1" applyAlignment="1">
      <alignment horizontal="right"/>
    </xf>
    <xf numFmtId="167" fontId="65" fillId="4" borderId="0" xfId="13" applyNumberFormat="1" applyFont="1" applyFill="1"/>
    <xf numFmtId="167" fontId="65" fillId="6" borderId="0" xfId="13" applyNumberFormat="1" applyFont="1" applyFill="1"/>
    <xf numFmtId="0" fontId="0" fillId="0" borderId="0" xfId="9" applyFont="1" applyFill="1"/>
    <xf numFmtId="10" fontId="14" fillId="0" borderId="0" xfId="13" applyNumberFormat="1" applyFont="1" applyFill="1"/>
    <xf numFmtId="167" fontId="14" fillId="13" borderId="0" xfId="5" applyNumberFormat="1" applyFont="1" applyFill="1"/>
    <xf numFmtId="167" fontId="14" fillId="3" borderId="0" xfId="5" applyNumberFormat="1" applyFont="1" applyFill="1"/>
    <xf numFmtId="0" fontId="0" fillId="13" borderId="0" xfId="7" applyFont="1" applyFill="1"/>
    <xf numFmtId="0" fontId="6" fillId="13" borderId="0" xfId="3" applyFill="1" applyAlignment="1" applyProtection="1"/>
    <xf numFmtId="0" fontId="14" fillId="0" borderId="0" xfId="7" applyAlignment="1">
      <alignment horizontal="center"/>
    </xf>
    <xf numFmtId="0" fontId="0" fillId="0" borderId="0" xfId="7" applyFont="1" applyAlignment="1">
      <alignment horizontal="center"/>
    </xf>
    <xf numFmtId="0" fontId="0" fillId="0" borderId="0" xfId="0" applyFill="1" applyAlignment="1">
      <alignment horizontal="center"/>
    </xf>
    <xf numFmtId="0" fontId="0" fillId="0" borderId="0" xfId="7" applyFont="1" applyFill="1" applyAlignment="1">
      <alignment horizontal="center"/>
    </xf>
    <xf numFmtId="10" fontId="0" fillId="0" borderId="0" xfId="0" applyNumberFormat="1" applyFill="1" applyAlignment="1">
      <alignment horizontal="center"/>
    </xf>
    <xf numFmtId="0" fontId="67" fillId="11" borderId="0" xfId="0" applyFont="1" applyFill="1"/>
    <xf numFmtId="0" fontId="14" fillId="11" borderId="0" xfId="0" applyFont="1" applyFill="1"/>
    <xf numFmtId="0" fontId="66" fillId="11" borderId="0" xfId="0" applyFont="1" applyFill="1" applyAlignment="1">
      <alignment vertical="center"/>
    </xf>
    <xf numFmtId="0" fontId="68" fillId="11" borderId="0" xfId="0" applyFont="1" applyFill="1" applyAlignment="1">
      <alignment vertical="center"/>
    </xf>
    <xf numFmtId="0" fontId="67" fillId="11" borderId="0" xfId="0" quotePrefix="1" applyFont="1" applyFill="1"/>
    <xf numFmtId="0" fontId="14" fillId="12" borderId="0" xfId="7" applyFill="1" applyAlignment="1">
      <alignment horizontal="center" vertical="top" wrapText="1"/>
    </xf>
    <xf numFmtId="0" fontId="38" fillId="22" borderId="0" xfId="18" applyFont="1" applyFill="1" applyAlignment="1"/>
    <xf numFmtId="1" fontId="26" fillId="0" borderId="0" xfId="11" applyNumberFormat="1" applyFont="1" applyAlignment="1" applyProtection="1">
      <alignment horizontal="left" vertical="top" wrapText="1"/>
    </xf>
    <xf numFmtId="0" fontId="42" fillId="22" borderId="6" xfId="17" applyFont="1" applyFill="1" applyBorder="1" applyAlignment="1" applyProtection="1">
      <alignment horizontal="center"/>
    </xf>
  </cellXfs>
  <cellStyles count="23">
    <cellStyle name="Heading_6. New topics" xfId="19" xr:uid="{00000000-0005-0000-0000-000000000000}"/>
    <cellStyle name="Hyperlink" xfId="3" builtinId="8"/>
    <cellStyle name="Hyperlink 2" xfId="10" xr:uid="{00000000-0005-0000-0000-000002000000}"/>
    <cellStyle name="Hyperlink 2 2" xfId="18" xr:uid="{00000000-0005-0000-0000-000003000000}"/>
    <cellStyle name="Normal" xfId="0" builtinId="0"/>
    <cellStyle name="Normal 2" xfId="2" xr:uid="{00000000-0005-0000-0000-000005000000}"/>
    <cellStyle name="Normal 2 2" xfId="6" xr:uid="{00000000-0005-0000-0000-000006000000}"/>
    <cellStyle name="Normal 2 2 3" xfId="1" xr:uid="{00000000-0005-0000-0000-000007000000}"/>
    <cellStyle name="Normal 2 3" xfId="14" xr:uid="{00000000-0005-0000-0000-000008000000}"/>
    <cellStyle name="Normal 2 4" xfId="22" xr:uid="{00000000-0005-0000-0000-000009000000}"/>
    <cellStyle name="Normal 3" xfId="4" xr:uid="{00000000-0005-0000-0000-00000A000000}"/>
    <cellStyle name="Normal 4" xfId="8" xr:uid="{00000000-0005-0000-0000-00000B000000}"/>
    <cellStyle name="Normal 4 2" xfId="16" xr:uid="{00000000-0005-0000-0000-00000C000000}"/>
    <cellStyle name="Normal 8" xfId="7" xr:uid="{00000000-0005-0000-0000-00000D000000}"/>
    <cellStyle name="Normal 8 5" xfId="9" xr:uid="{00000000-0005-0000-0000-00000E000000}"/>
    <cellStyle name="Normal_70108 updated" xfId="21" xr:uid="{00000000-0005-0000-0000-00000F000000}"/>
    <cellStyle name="Normal_CS94D" xfId="11" xr:uid="{00000000-0005-0000-0000-000010000000}"/>
    <cellStyle name="Normal_TRA2501" xfId="20" xr:uid="{00000000-0005-0000-0000-000011000000}"/>
    <cellStyle name="Normal_TRA2502a" xfId="15" xr:uid="{00000000-0005-0000-0000-000012000000}"/>
    <cellStyle name="Normal_TRA9901" xfId="17" xr:uid="{00000000-0005-0000-0000-000013000000}"/>
    <cellStyle name="Percent" xfId="5" builtinId="5"/>
    <cellStyle name="Percent 2" xfId="13" xr:uid="{00000000-0005-0000-0000-000015000000}"/>
    <cellStyle name="Percent 4" xfId="12" xr:uid="{00000000-0005-0000-0000-000016000000}"/>
  </cellStyles>
  <dxfs count="0"/>
  <tableStyles count="0" defaultTableStyle="TableStyleMedium2" defaultPivotStyle="PivotStyleLight16"/>
  <colors>
    <mruColors>
      <color rgb="FFDC97FF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externalLink" Target="externalLinks/externalLink6.xml"/><Relationship Id="rId21" Type="http://schemas.openxmlformats.org/officeDocument/2006/relationships/worksheet" Target="worksheets/sheet21.xml"/><Relationship Id="rId34" Type="http://schemas.openxmlformats.org/officeDocument/2006/relationships/externalLink" Target="externalLinks/externalLink1.xml"/><Relationship Id="rId42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externalLink" Target="externalLinks/externalLink4.xml"/><Relationship Id="rId40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externalLink" Target="externalLinks/externalLink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externalLink" Target="externalLinks/externalLink2.xml"/><Relationship Id="rId43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externalLink" Target="externalLinks/externalLink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Real-world light duty vehicle fuel economy l/100km (gasoline)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'1_LDV calcs'!$B$68</c:f>
              <c:strCache>
                <c:ptCount val="1"/>
                <c:pt idx="0">
                  <c:v>LDVs gasonline - lower bound</c:v>
                </c:pt>
              </c:strCache>
            </c:strRef>
          </c:tx>
          <c:spPr>
            <a:ln w="28575" cap="rnd">
              <a:solidFill>
                <a:schemeClr val="accent1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calcs'!$D$68:$BK$68</c:f>
              <c:numCache>
                <c:formatCode>0.00</c:formatCode>
                <c:ptCount val="60"/>
                <c:pt idx="0" formatCode="0.0">
                  <c:v>21</c:v>
                </c:pt>
                <c:pt idx="1">
                  <c:v>20.81</c:v>
                </c:pt>
                <c:pt idx="2">
                  <c:v>20.619999999999997</c:v>
                </c:pt>
                <c:pt idx="3">
                  <c:v>20.429999999999996</c:v>
                </c:pt>
                <c:pt idx="4">
                  <c:v>20.239999999999995</c:v>
                </c:pt>
                <c:pt idx="5">
                  <c:v>20.049999999999994</c:v>
                </c:pt>
                <c:pt idx="6">
                  <c:v>19.859999999999992</c:v>
                </c:pt>
                <c:pt idx="7">
                  <c:v>19.669999999999991</c:v>
                </c:pt>
                <c:pt idx="8">
                  <c:v>19.47999999999999</c:v>
                </c:pt>
                <c:pt idx="9">
                  <c:v>19.289999999999988</c:v>
                </c:pt>
                <c:pt idx="10">
                  <c:v>19.099999999999987</c:v>
                </c:pt>
                <c:pt idx="11">
                  <c:v>18.909999999999986</c:v>
                </c:pt>
                <c:pt idx="12">
                  <c:v>18.719999999999985</c:v>
                </c:pt>
                <c:pt idx="13">
                  <c:v>18.529999999999983</c:v>
                </c:pt>
                <c:pt idx="14">
                  <c:v>18.339999999999982</c:v>
                </c:pt>
                <c:pt idx="15">
                  <c:v>18.149999999999981</c:v>
                </c:pt>
                <c:pt idx="16">
                  <c:v>17.95999999999998</c:v>
                </c:pt>
                <c:pt idx="17">
                  <c:v>17.769999999999978</c:v>
                </c:pt>
                <c:pt idx="18">
                  <c:v>17.579999999999977</c:v>
                </c:pt>
                <c:pt idx="19">
                  <c:v>17.389999999999976</c:v>
                </c:pt>
                <c:pt idx="20">
                  <c:v>17.199999999999974</c:v>
                </c:pt>
                <c:pt idx="21">
                  <c:v>17.009999999999973</c:v>
                </c:pt>
                <c:pt idx="22">
                  <c:v>16.819999999999972</c:v>
                </c:pt>
                <c:pt idx="23">
                  <c:v>16.629999999999971</c:v>
                </c:pt>
                <c:pt idx="24">
                  <c:v>16.439999999999969</c:v>
                </c:pt>
                <c:pt idx="25">
                  <c:v>16.249999999999968</c:v>
                </c:pt>
                <c:pt idx="26">
                  <c:v>16.059999999999967</c:v>
                </c:pt>
                <c:pt idx="27">
                  <c:v>15.869999999999967</c:v>
                </c:pt>
                <c:pt idx="28">
                  <c:v>15.679999999999968</c:v>
                </c:pt>
                <c:pt idx="29">
                  <c:v>15.489999999999968</c:v>
                </c:pt>
                <c:pt idx="30">
                  <c:v>15.299999999999969</c:v>
                </c:pt>
                <c:pt idx="31">
                  <c:v>15.109999999999969</c:v>
                </c:pt>
                <c:pt idx="32">
                  <c:v>14.91999999999997</c:v>
                </c:pt>
                <c:pt idx="33">
                  <c:v>14.72999999999997</c:v>
                </c:pt>
                <c:pt idx="34">
                  <c:v>14.539999999999971</c:v>
                </c:pt>
                <c:pt idx="35">
                  <c:v>14.349999999999971</c:v>
                </c:pt>
                <c:pt idx="36">
                  <c:v>14.159999999999972</c:v>
                </c:pt>
                <c:pt idx="37">
                  <c:v>13.969999999999972</c:v>
                </c:pt>
                <c:pt idx="38">
                  <c:v>13.779999999999973</c:v>
                </c:pt>
                <c:pt idx="39">
                  <c:v>13.589999999999973</c:v>
                </c:pt>
                <c:pt idx="40">
                  <c:v>13.399999999999974</c:v>
                </c:pt>
                <c:pt idx="41">
                  <c:v>13.209999999999974</c:v>
                </c:pt>
                <c:pt idx="42">
                  <c:v>13.019999999999975</c:v>
                </c:pt>
                <c:pt idx="43">
                  <c:v>12.829999999999975</c:v>
                </c:pt>
                <c:pt idx="44">
                  <c:v>12.639999999999976</c:v>
                </c:pt>
                <c:pt idx="45">
                  <c:v>12.449999999999976</c:v>
                </c:pt>
                <c:pt idx="46">
                  <c:v>12.259999999999977</c:v>
                </c:pt>
                <c:pt idx="47">
                  <c:v>12.069999999999977</c:v>
                </c:pt>
                <c:pt idx="48">
                  <c:v>11.879999999999978</c:v>
                </c:pt>
                <c:pt idx="49">
                  <c:v>11.689999999999978</c:v>
                </c:pt>
                <c:pt idx="50">
                  <c:v>11.499999999999979</c:v>
                </c:pt>
                <c:pt idx="51">
                  <c:v>11.309999999999979</c:v>
                </c:pt>
                <c:pt idx="52">
                  <c:v>11.11999999999998</c:v>
                </c:pt>
                <c:pt idx="53">
                  <c:v>10.92999999999998</c:v>
                </c:pt>
                <c:pt idx="54">
                  <c:v>10.739999999999981</c:v>
                </c:pt>
                <c:pt idx="55">
                  <c:v>10.549999999999981</c:v>
                </c:pt>
                <c:pt idx="56">
                  <c:v>10.359999999999982</c:v>
                </c:pt>
                <c:pt idx="57">
                  <c:v>10.169999999999982</c:v>
                </c:pt>
                <c:pt idx="58">
                  <c:v>9.9799999999999827</c:v>
                </c:pt>
                <c:pt idx="59">
                  <c:v>9.7899999999999832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DC-4900-8220-F6A00B094F87}"/>
            </c:ext>
          </c:extLst>
        </c:ser>
        <c:ser>
          <c:idx val="1"/>
          <c:order val="1"/>
          <c:tx>
            <c:strRef>
              <c:f>'1_LDV calcs'!$B$69</c:f>
              <c:strCache>
                <c:ptCount val="1"/>
                <c:pt idx="0">
                  <c:v>LDVs gasoline - middle bound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calcs'!$D$69:$BK$69</c:f>
              <c:numCache>
                <c:formatCode>0.0</c:formatCode>
                <c:ptCount val="60"/>
                <c:pt idx="0">
                  <c:v>15.85</c:v>
                </c:pt>
                <c:pt idx="1">
                  <c:v>15.719999999999999</c:v>
                </c:pt>
                <c:pt idx="2">
                  <c:v>15.589999999999998</c:v>
                </c:pt>
                <c:pt idx="3">
                  <c:v>15.459999999999997</c:v>
                </c:pt>
                <c:pt idx="4">
                  <c:v>15.329999999999997</c:v>
                </c:pt>
                <c:pt idx="5">
                  <c:v>15.199999999999996</c:v>
                </c:pt>
                <c:pt idx="6">
                  <c:v>15.069999999999995</c:v>
                </c:pt>
                <c:pt idx="7">
                  <c:v>14.939999999999994</c:v>
                </c:pt>
                <c:pt idx="8">
                  <c:v>14.809999999999993</c:v>
                </c:pt>
                <c:pt idx="9">
                  <c:v>14.679999999999993</c:v>
                </c:pt>
                <c:pt idx="10">
                  <c:v>14.549999999999992</c:v>
                </c:pt>
                <c:pt idx="11">
                  <c:v>14.419999999999991</c:v>
                </c:pt>
                <c:pt idx="12">
                  <c:v>14.28999999999999</c:v>
                </c:pt>
                <c:pt idx="13">
                  <c:v>14.159999999999989</c:v>
                </c:pt>
                <c:pt idx="14">
                  <c:v>14.029999999999989</c:v>
                </c:pt>
                <c:pt idx="15">
                  <c:v>13.899999999999988</c:v>
                </c:pt>
                <c:pt idx="16">
                  <c:v>13.769999999999987</c:v>
                </c:pt>
                <c:pt idx="17">
                  <c:v>13.639999999999986</c:v>
                </c:pt>
                <c:pt idx="18">
                  <c:v>13.509999999999986</c:v>
                </c:pt>
                <c:pt idx="19">
                  <c:v>13.379999999999985</c:v>
                </c:pt>
                <c:pt idx="20">
                  <c:v>13.249999999999984</c:v>
                </c:pt>
                <c:pt idx="21">
                  <c:v>13.119999999999983</c:v>
                </c:pt>
                <c:pt idx="22">
                  <c:v>12.989999999999982</c:v>
                </c:pt>
                <c:pt idx="23">
                  <c:v>12.859999999999982</c:v>
                </c:pt>
                <c:pt idx="24">
                  <c:v>12.729999999999981</c:v>
                </c:pt>
                <c:pt idx="25">
                  <c:v>12.59999999999998</c:v>
                </c:pt>
                <c:pt idx="26">
                  <c:v>12.469999999999979</c:v>
                </c:pt>
                <c:pt idx="27">
                  <c:v>12.339999999999979</c:v>
                </c:pt>
                <c:pt idx="28">
                  <c:v>12.20999999999998</c:v>
                </c:pt>
                <c:pt idx="29">
                  <c:v>12.079999999999981</c:v>
                </c:pt>
                <c:pt idx="30">
                  <c:v>11.94999999999998</c:v>
                </c:pt>
                <c:pt idx="31">
                  <c:v>11.819999999999979</c:v>
                </c:pt>
                <c:pt idx="32">
                  <c:v>11.68999999999998</c:v>
                </c:pt>
                <c:pt idx="33">
                  <c:v>11.559999999999981</c:v>
                </c:pt>
                <c:pt idx="34">
                  <c:v>11.42999999999998</c:v>
                </c:pt>
                <c:pt idx="35">
                  <c:v>11.299999999999979</c:v>
                </c:pt>
                <c:pt idx="36">
                  <c:v>11.16999999999998</c:v>
                </c:pt>
                <c:pt idx="37">
                  <c:v>11.039999999999981</c:v>
                </c:pt>
                <c:pt idx="38">
                  <c:v>10.909999999999981</c:v>
                </c:pt>
                <c:pt idx="39">
                  <c:v>10.77999999999998</c:v>
                </c:pt>
                <c:pt idx="40">
                  <c:v>10.649999999999981</c:v>
                </c:pt>
                <c:pt idx="41">
                  <c:v>10.519999999999982</c:v>
                </c:pt>
                <c:pt idx="42">
                  <c:v>10.389999999999981</c:v>
                </c:pt>
                <c:pt idx="43">
                  <c:v>10.25999999999998</c:v>
                </c:pt>
                <c:pt idx="44">
                  <c:v>10.129999999999981</c:v>
                </c:pt>
                <c:pt idx="45">
                  <c:v>9.9999999999999822</c:v>
                </c:pt>
                <c:pt idx="46">
                  <c:v>9.8699999999999815</c:v>
                </c:pt>
                <c:pt idx="47">
                  <c:v>9.7399999999999807</c:v>
                </c:pt>
                <c:pt idx="48">
                  <c:v>9.6099999999999817</c:v>
                </c:pt>
                <c:pt idx="49">
                  <c:v>9.4799999999999827</c:v>
                </c:pt>
                <c:pt idx="50">
                  <c:v>9.3499999999999819</c:v>
                </c:pt>
                <c:pt idx="51">
                  <c:v>9.2199999999999811</c:v>
                </c:pt>
                <c:pt idx="52">
                  <c:v>9.0899999999999821</c:v>
                </c:pt>
                <c:pt idx="53">
                  <c:v>8.9599999999999831</c:v>
                </c:pt>
                <c:pt idx="54">
                  <c:v>8.8299999999999823</c:v>
                </c:pt>
                <c:pt idx="55">
                  <c:v>8.6999999999999815</c:v>
                </c:pt>
                <c:pt idx="56">
                  <c:v>8.5699999999999825</c:v>
                </c:pt>
                <c:pt idx="57">
                  <c:v>8.4399999999999835</c:v>
                </c:pt>
                <c:pt idx="58">
                  <c:v>8.3099999999999827</c:v>
                </c:pt>
                <c:pt idx="59">
                  <c:v>8.179999999999982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DC-4900-8220-F6A00B094F87}"/>
            </c:ext>
          </c:extLst>
        </c:ser>
        <c:ser>
          <c:idx val="2"/>
          <c:order val="2"/>
          <c:tx>
            <c:strRef>
              <c:f>'1_LDV calcs'!$B$70</c:f>
              <c:strCache>
                <c:ptCount val="1"/>
                <c:pt idx="0">
                  <c:v>LDVs gasoline - upper bound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calcs'!$D$70:$BK$70</c:f>
              <c:numCache>
                <c:formatCode>0.00</c:formatCode>
                <c:ptCount val="60"/>
                <c:pt idx="0" formatCode="0.0">
                  <c:v>10.7</c:v>
                </c:pt>
                <c:pt idx="1">
                  <c:v>10.629999999999999</c:v>
                </c:pt>
                <c:pt idx="2">
                  <c:v>10.559999999999999</c:v>
                </c:pt>
                <c:pt idx="3">
                  <c:v>10.489999999999998</c:v>
                </c:pt>
                <c:pt idx="4">
                  <c:v>10.419999999999998</c:v>
                </c:pt>
                <c:pt idx="5">
                  <c:v>10.349999999999998</c:v>
                </c:pt>
                <c:pt idx="6">
                  <c:v>10.279999999999998</c:v>
                </c:pt>
                <c:pt idx="7">
                  <c:v>10.209999999999997</c:v>
                </c:pt>
                <c:pt idx="8">
                  <c:v>10.139999999999997</c:v>
                </c:pt>
                <c:pt idx="9">
                  <c:v>10.069999999999997</c:v>
                </c:pt>
                <c:pt idx="10">
                  <c:v>9.9999999999999964</c:v>
                </c:pt>
                <c:pt idx="11">
                  <c:v>9.9299999999999962</c:v>
                </c:pt>
                <c:pt idx="12">
                  <c:v>9.8599999999999959</c:v>
                </c:pt>
                <c:pt idx="13">
                  <c:v>9.7899999999999956</c:v>
                </c:pt>
                <c:pt idx="14">
                  <c:v>9.7199999999999953</c:v>
                </c:pt>
                <c:pt idx="15">
                  <c:v>9.649999999999995</c:v>
                </c:pt>
                <c:pt idx="16">
                  <c:v>9.5799999999999947</c:v>
                </c:pt>
                <c:pt idx="17">
                  <c:v>9.5099999999999945</c:v>
                </c:pt>
                <c:pt idx="18">
                  <c:v>9.4399999999999942</c:v>
                </c:pt>
                <c:pt idx="19">
                  <c:v>9.3699999999999939</c:v>
                </c:pt>
                <c:pt idx="20">
                  <c:v>9.2999999999999936</c:v>
                </c:pt>
                <c:pt idx="21">
                  <c:v>9.2299999999999933</c:v>
                </c:pt>
                <c:pt idx="22">
                  <c:v>9.159999999999993</c:v>
                </c:pt>
                <c:pt idx="23">
                  <c:v>9.0899999999999928</c:v>
                </c:pt>
                <c:pt idx="24">
                  <c:v>9.0199999999999925</c:v>
                </c:pt>
                <c:pt idx="25">
                  <c:v>8.9499999999999922</c:v>
                </c:pt>
                <c:pt idx="26">
                  <c:v>8.8799999999999919</c:v>
                </c:pt>
                <c:pt idx="27">
                  <c:v>8.8099999999999916</c:v>
                </c:pt>
                <c:pt idx="28">
                  <c:v>8.7399999999999913</c:v>
                </c:pt>
                <c:pt idx="29">
                  <c:v>8.669999999999991</c:v>
                </c:pt>
                <c:pt idx="30">
                  <c:v>8.5999999999999908</c:v>
                </c:pt>
                <c:pt idx="31">
                  <c:v>8.5299999999999905</c:v>
                </c:pt>
                <c:pt idx="32">
                  <c:v>8.4599999999999902</c:v>
                </c:pt>
                <c:pt idx="33">
                  <c:v>8.3899999999999899</c:v>
                </c:pt>
                <c:pt idx="34">
                  <c:v>8.3199999999999896</c:v>
                </c:pt>
                <c:pt idx="35">
                  <c:v>8.2499999999999893</c:v>
                </c:pt>
                <c:pt idx="36">
                  <c:v>8.1799999999999891</c:v>
                </c:pt>
                <c:pt idx="37">
                  <c:v>8.1099999999999888</c:v>
                </c:pt>
                <c:pt idx="38">
                  <c:v>8.0399999999999885</c:v>
                </c:pt>
                <c:pt idx="39">
                  <c:v>7.9699999999999882</c:v>
                </c:pt>
                <c:pt idx="40">
                  <c:v>7.8999999999999879</c:v>
                </c:pt>
                <c:pt idx="41">
                  <c:v>7.8299999999999876</c:v>
                </c:pt>
                <c:pt idx="42">
                  <c:v>7.7599999999999874</c:v>
                </c:pt>
                <c:pt idx="43">
                  <c:v>7.6899999999999871</c:v>
                </c:pt>
                <c:pt idx="44">
                  <c:v>7.6199999999999868</c:v>
                </c:pt>
                <c:pt idx="45">
                  <c:v>7.5499999999999865</c:v>
                </c:pt>
                <c:pt idx="46">
                  <c:v>7.4799999999999862</c:v>
                </c:pt>
                <c:pt idx="47">
                  <c:v>7.4099999999999859</c:v>
                </c:pt>
                <c:pt idx="48">
                  <c:v>7.3399999999999856</c:v>
                </c:pt>
                <c:pt idx="49">
                  <c:v>7.2699999999999854</c:v>
                </c:pt>
                <c:pt idx="50">
                  <c:v>7.1999999999999851</c:v>
                </c:pt>
                <c:pt idx="51">
                  <c:v>7.1299999999999848</c:v>
                </c:pt>
                <c:pt idx="52">
                  <c:v>7.0599999999999845</c:v>
                </c:pt>
                <c:pt idx="53">
                  <c:v>6.9899999999999842</c:v>
                </c:pt>
                <c:pt idx="54">
                  <c:v>6.9199999999999839</c:v>
                </c:pt>
                <c:pt idx="55">
                  <c:v>6.8499999999999837</c:v>
                </c:pt>
                <c:pt idx="56">
                  <c:v>6.7799999999999834</c:v>
                </c:pt>
                <c:pt idx="57">
                  <c:v>6.7099999999999831</c:v>
                </c:pt>
                <c:pt idx="58">
                  <c:v>6.6399999999999828</c:v>
                </c:pt>
                <c:pt idx="59">
                  <c:v>6.5699999999999825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DC-4900-8220-F6A00B094F87}"/>
            </c:ext>
          </c:extLst>
        </c:ser>
        <c:ser>
          <c:idx val="3"/>
          <c:order val="3"/>
          <c:tx>
            <c:strRef>
              <c:f>'1_LDV calcs'!$B$71</c:f>
              <c:strCache>
                <c:ptCount val="1"/>
                <c:pt idx="0">
                  <c:v>UK - LDVs - gasoline (ECUK) #2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calcs'!$D$71:$BK$71</c:f>
              <c:numCache>
                <c:formatCode>0.00</c:formatCode>
                <c:ptCount val="60"/>
                <c:pt idx="0">
                  <c:v>11.394145162682019</c:v>
                </c:pt>
                <c:pt idx="1">
                  <c:v>10.896034123663487</c:v>
                </c:pt>
                <c:pt idx="2">
                  <c:v>10.756129422691213</c:v>
                </c:pt>
                <c:pt idx="3">
                  <c:v>10.547328775465031</c:v>
                </c:pt>
                <c:pt idx="4">
                  <c:v>10.327359311064381</c:v>
                </c:pt>
                <c:pt idx="5">
                  <c:v>10.198044392937639</c:v>
                </c:pt>
                <c:pt idx="6">
                  <c:v>10.007943017213224</c:v>
                </c:pt>
                <c:pt idx="7">
                  <c:v>10.150762612632905</c:v>
                </c:pt>
                <c:pt idx="8">
                  <c:v>10.26370073971129</c:v>
                </c:pt>
                <c:pt idx="9">
                  <c:v>10.276722295721001</c:v>
                </c:pt>
                <c:pt idx="10">
                  <c:v>9.7277444087640959</c:v>
                </c:pt>
                <c:pt idx="11">
                  <c:v>9.6420305064140823</c:v>
                </c:pt>
                <c:pt idx="12">
                  <c:v>9.7177198666756208</c:v>
                </c:pt>
                <c:pt idx="13">
                  <c:v>9.843390192063346</c:v>
                </c:pt>
                <c:pt idx="14">
                  <c:v>9.7552038746361767</c:v>
                </c:pt>
                <c:pt idx="15">
                  <c:v>9.4550370174423364</c:v>
                </c:pt>
                <c:pt idx="16">
                  <c:v>9.4266303714170885</c:v>
                </c:pt>
                <c:pt idx="17">
                  <c:v>9.5236473309181324</c:v>
                </c:pt>
                <c:pt idx="18">
                  <c:v>9.6847096138905933</c:v>
                </c:pt>
                <c:pt idx="19">
                  <c:v>9.9082915321323508</c:v>
                </c:pt>
                <c:pt idx="20">
                  <c:v>9.5280213711818007</c:v>
                </c:pt>
                <c:pt idx="21">
                  <c:v>9.1211314918860538</c:v>
                </c:pt>
                <c:pt idx="22">
                  <c:v>9.1077174705477155</c:v>
                </c:pt>
                <c:pt idx="23">
                  <c:v>9.1443624147924343</c:v>
                </c:pt>
                <c:pt idx="24">
                  <c:v>8.9864888341390827</c:v>
                </c:pt>
                <c:pt idx="25">
                  <c:v>8.8509204226541964</c:v>
                </c:pt>
                <c:pt idx="26">
                  <c:v>8.8706216280262176</c:v>
                </c:pt>
                <c:pt idx="27">
                  <c:v>8.5721624311838909</c:v>
                </c:pt>
                <c:pt idx="28">
                  <c:v>8.4230796181552119</c:v>
                </c:pt>
                <c:pt idx="29">
                  <c:v>8.1251879752986156</c:v>
                </c:pt>
                <c:pt idx="30">
                  <c:v>8.3574611147925797</c:v>
                </c:pt>
                <c:pt idx="31">
                  <c:v>8.345361911672363</c:v>
                </c:pt>
                <c:pt idx="32">
                  <c:v>8.4655048875693399</c:v>
                </c:pt>
                <c:pt idx="33">
                  <c:v>8.5688552618302722</c:v>
                </c:pt>
                <c:pt idx="34">
                  <c:v>8.3558699666275942</c:v>
                </c:pt>
                <c:pt idx="35">
                  <c:v>8.1164637553443271</c:v>
                </c:pt>
                <c:pt idx="36">
                  <c:v>8.2511705504000226</c:v>
                </c:pt>
                <c:pt idx="37">
                  <c:v>8.1995520561525996</c:v>
                </c:pt>
                <c:pt idx="38">
                  <c:v>8.0184230777835275</c:v>
                </c:pt>
                <c:pt idx="39">
                  <c:v>8.010577073149781</c:v>
                </c:pt>
                <c:pt idx="40">
                  <c:v>8.006772916392304</c:v>
                </c:pt>
                <c:pt idx="41">
                  <c:v>7.8948595847210257</c:v>
                </c:pt>
                <c:pt idx="42">
                  <c:v>7.873752090064535</c:v>
                </c:pt>
                <c:pt idx="43">
                  <c:v>7.7814286993783108</c:v>
                </c:pt>
                <c:pt idx="44">
                  <c:v>7.7578694215899766</c:v>
                </c:pt>
                <c:pt idx="45">
                  <c:v>7.8148017291287468</c:v>
                </c:pt>
                <c:pt idx="46">
                  <c:v>7.7095434669683822</c:v>
                </c:pt>
                <c:pt idx="47">
                  <c:v>7.7458380276500476</c:v>
                </c:pt>
                <c:pt idx="48">
                  <c:v>7.6092377742710156</c:v>
                </c:pt>
                <c:pt idx="49">
                  <c:v>7.420329690838158</c:v>
                </c:pt>
                <c:pt idx="50">
                  <c:v>7.3040830367006482</c:v>
                </c:pt>
                <c:pt idx="51">
                  <c:v>7.1793121540002129</c:v>
                </c:pt>
                <c:pt idx="52">
                  <c:v>7.1408391358039083</c:v>
                </c:pt>
                <c:pt idx="53">
                  <c:v>7.0062493702249471</c:v>
                </c:pt>
                <c:pt idx="54">
                  <c:v>6.85158141997253</c:v>
                </c:pt>
                <c:pt idx="55">
                  <c:v>6.7947847806026118</c:v>
                </c:pt>
                <c:pt idx="56">
                  <c:v>6.7488001974409784</c:v>
                </c:pt>
                <c:pt idx="57">
                  <c:v>6.6157064631548108</c:v>
                </c:pt>
                <c:pt idx="58">
                  <c:v>6.4192686331737443</c:v>
                </c:pt>
                <c:pt idx="59">
                  <c:v>6.3018724857635036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FDC-4900-8220-F6A00B094F87}"/>
            </c:ext>
          </c:extLst>
        </c:ser>
        <c:ser>
          <c:idx val="4"/>
          <c:order val="4"/>
          <c:tx>
            <c:strRef>
              <c:f>'1_LDV calcs'!$B$72</c:f>
              <c:strCache>
                <c:ptCount val="1"/>
                <c:pt idx="0">
                  <c:v>US - LDVs - gasoline (Table 1.8)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5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calcs'!$D$72:$BK$72</c:f>
              <c:numCache>
                <c:formatCode>0.00</c:formatCode>
                <c:ptCount val="60"/>
                <c:pt idx="0">
                  <c:v>20.189431019371888</c:v>
                </c:pt>
                <c:pt idx="1">
                  <c:v>20.172470652134976</c:v>
                </c:pt>
                <c:pt idx="2">
                  <c:v>20.155510284898064</c:v>
                </c:pt>
                <c:pt idx="3">
                  <c:v>20.138549917661152</c:v>
                </c:pt>
                <c:pt idx="4">
                  <c:v>20.12158955042424</c:v>
                </c:pt>
                <c:pt idx="5">
                  <c:v>20.104629183187328</c:v>
                </c:pt>
                <c:pt idx="6">
                  <c:v>20.087668815950416</c:v>
                </c:pt>
                <c:pt idx="7">
                  <c:v>19.904201475633407</c:v>
                </c:pt>
                <c:pt idx="8">
                  <c:v>20.091834852009786</c:v>
                </c:pt>
                <c:pt idx="9">
                  <c:v>20.309072711514876</c:v>
                </c:pt>
                <c:pt idx="10">
                  <c:v>20.200856012050924</c:v>
                </c:pt>
                <c:pt idx="11">
                  <c:v>20.002866979765852</c:v>
                </c:pt>
                <c:pt idx="12">
                  <c:v>20.006071660271076</c:v>
                </c:pt>
                <c:pt idx="13">
                  <c:v>19.95310610776944</c:v>
                </c:pt>
                <c:pt idx="14">
                  <c:v>19.386024962050115</c:v>
                </c:pt>
                <c:pt idx="15">
                  <c:v>19.652425495383266</c:v>
                </c:pt>
                <c:pt idx="16">
                  <c:v>19.435740724880382</c:v>
                </c:pt>
                <c:pt idx="17">
                  <c:v>18.970049152075042</c:v>
                </c:pt>
                <c:pt idx="18">
                  <c:v>18.536306590807325</c:v>
                </c:pt>
                <c:pt idx="19">
                  <c:v>18.057905756462063</c:v>
                </c:pt>
                <c:pt idx="20">
                  <c:v>17.167609865859543</c:v>
                </c:pt>
                <c:pt idx="21">
                  <c:v>16.69645812137729</c:v>
                </c:pt>
                <c:pt idx="22">
                  <c:v>15.785641875819444</c:v>
                </c:pt>
                <c:pt idx="23">
                  <c:v>15.601028459157385</c:v>
                </c:pt>
                <c:pt idx="24">
                  <c:v>15.301228118987604</c:v>
                </c:pt>
                <c:pt idx="25">
                  <c:v>15.027762353142954</c:v>
                </c:pt>
                <c:pt idx="26">
                  <c:v>14.895683288261045</c:v>
                </c:pt>
                <c:pt idx="27">
                  <c:v>14.484991394935548</c:v>
                </c:pt>
                <c:pt idx="28">
                  <c:v>14.000737446335194</c:v>
                </c:pt>
                <c:pt idx="29">
                  <c:v>13.542102851153356</c:v>
                </c:pt>
                <c:pt idx="30">
                  <c:v>13.206281626921475</c:v>
                </c:pt>
                <c:pt idx="31">
                  <c:v>12.597835778586635</c:v>
                </c:pt>
                <c:pt idx="32">
                  <c:v>12.490523974829561</c:v>
                </c:pt>
                <c:pt idx="33">
                  <c:v>12.563540424037576</c:v>
                </c:pt>
                <c:pt idx="34">
                  <c:v>12.518764772764237</c:v>
                </c:pt>
                <c:pt idx="35">
                  <c:v>12.398374328899509</c:v>
                </c:pt>
                <c:pt idx="36">
                  <c:v>12.390414302472603</c:v>
                </c:pt>
                <c:pt idx="37">
                  <c:v>12.328515901234825</c:v>
                </c:pt>
                <c:pt idx="38">
                  <c:v>12.29796648337873</c:v>
                </c:pt>
                <c:pt idx="39">
                  <c:v>12.390635908360304</c:v>
                </c:pt>
                <c:pt idx="40">
                  <c:v>12.094931225592203</c:v>
                </c:pt>
                <c:pt idx="41">
                  <c:v>11.947083254982447</c:v>
                </c:pt>
                <c:pt idx="42">
                  <c:v>12.027224527010063</c:v>
                </c:pt>
                <c:pt idx="43">
                  <c:v>12.481952956756972</c:v>
                </c:pt>
                <c:pt idx="44">
                  <c:v>12.365578048521055</c:v>
                </c:pt>
                <c:pt idx="45">
                  <c:v>11.886217112612892</c:v>
                </c:pt>
                <c:pt idx="46">
                  <c:v>11.718017707508444</c:v>
                </c:pt>
                <c:pt idx="47">
                  <c:v>12.319455409015307</c:v>
                </c:pt>
                <c:pt idx="48">
                  <c:v>12.107851616549421</c:v>
                </c:pt>
                <c:pt idx="49">
                  <c:v>12.144605102699138</c:v>
                </c:pt>
                <c:pt idx="50">
                  <c:v>12.218120881425881</c:v>
                </c:pt>
                <c:pt idx="51">
                  <c:v>12.016187432091751</c:v>
                </c:pt>
                <c:pt idx="52">
                  <c:v>11.970569812377059</c:v>
                </c:pt>
                <c:pt idx="53">
                  <c:v>11.916473283390877</c:v>
                </c:pt>
                <c:pt idx="54">
                  <c:v>12.031592172675875</c:v>
                </c:pt>
                <c:pt idx="55">
                  <c:v>11.759714535382427</c:v>
                </c:pt>
                <c:pt idx="56">
                  <c:v>11.719950998548537</c:v>
                </c:pt>
                <c:pt idx="57">
                  <c:v>11.581839338825704</c:v>
                </c:pt>
                <c:pt idx="58">
                  <c:v>11.402736294892405</c:v>
                </c:pt>
                <c:pt idx="59">
                  <c:v>11.29998889719271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FDC-4900-8220-F6A00B094F87}"/>
            </c:ext>
          </c:extLst>
        </c:ser>
        <c:ser>
          <c:idx val="5"/>
          <c:order val="5"/>
          <c:tx>
            <c:strRef>
              <c:f>'1_LDV calcs'!$B$73</c:f>
              <c:strCache>
                <c:ptCount val="1"/>
                <c:pt idx="0">
                  <c:v>UK - LDVs - diesel (ECUK) #2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'1_LDV calcs'!$D$67:$BK$67</c:f>
              <c:numCache>
                <c:formatCode>General</c:formatCode>
                <c:ptCount val="60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</c:numCache>
            </c:numRef>
          </c:cat>
          <c:val>
            <c:numRef>
              <c:f>'1_LDV calcs'!$D$73:$BK$73</c:f>
              <c:numCache>
                <c:formatCode>0.00</c:formatCode>
                <c:ptCount val="60"/>
                <c:pt idx="0">
                  <c:v>9.0931169128852449</c:v>
                </c:pt>
                <c:pt idx="1">
                  <c:v>8.798791086622213</c:v>
                </c:pt>
                <c:pt idx="2">
                  <c:v>8.9982129705945706</c:v>
                </c:pt>
                <c:pt idx="3">
                  <c:v>8.9242736794666317</c:v>
                </c:pt>
                <c:pt idx="4">
                  <c:v>9.3866720837426154</c:v>
                </c:pt>
                <c:pt idx="5">
                  <c:v>9.3095093618617675</c:v>
                </c:pt>
                <c:pt idx="6">
                  <c:v>9.5349685334242498</c:v>
                </c:pt>
                <c:pt idx="7">
                  <c:v>10.056667724471493</c:v>
                </c:pt>
                <c:pt idx="8">
                  <c:v>10.389191987795739</c:v>
                </c:pt>
                <c:pt idx="9">
                  <c:v>10.425134746184987</c:v>
                </c:pt>
                <c:pt idx="10">
                  <c:v>9.8149202230096133</c:v>
                </c:pt>
                <c:pt idx="11">
                  <c:v>9.6991909399058667</c:v>
                </c:pt>
                <c:pt idx="12">
                  <c:v>9.7202430123036834</c:v>
                </c:pt>
                <c:pt idx="13">
                  <c:v>9.8241352681089804</c:v>
                </c:pt>
                <c:pt idx="14">
                  <c:v>9.779518155347132</c:v>
                </c:pt>
                <c:pt idx="15">
                  <c:v>9.4577174181167152</c:v>
                </c:pt>
                <c:pt idx="16">
                  <c:v>9.3895714546389897</c:v>
                </c:pt>
                <c:pt idx="17">
                  <c:v>9.5006955169874647</c:v>
                </c:pt>
                <c:pt idx="18">
                  <c:v>9.5813245768321931</c:v>
                </c:pt>
                <c:pt idx="19">
                  <c:v>9.7804188999563415</c:v>
                </c:pt>
                <c:pt idx="20">
                  <c:v>9.3685338419512245</c:v>
                </c:pt>
                <c:pt idx="21">
                  <c:v>8.9955156834267651</c:v>
                </c:pt>
                <c:pt idx="22">
                  <c:v>9.0135089574565015</c:v>
                </c:pt>
                <c:pt idx="23">
                  <c:v>9.0737634028298402</c:v>
                </c:pt>
                <c:pt idx="24">
                  <c:v>8.9960369000542304</c:v>
                </c:pt>
                <c:pt idx="25">
                  <c:v>8.854450444547048</c:v>
                </c:pt>
                <c:pt idx="26">
                  <c:v>8.9886317875058026</c:v>
                </c:pt>
                <c:pt idx="27">
                  <c:v>8.5140398290670873</c:v>
                </c:pt>
                <c:pt idx="28">
                  <c:v>8.4432922122601131</c:v>
                </c:pt>
                <c:pt idx="29">
                  <c:v>8.8743397707880529</c:v>
                </c:pt>
                <c:pt idx="30">
                  <c:v>8.5598755607325785</c:v>
                </c:pt>
                <c:pt idx="31">
                  <c:v>8.5467407699789497</c:v>
                </c:pt>
                <c:pt idx="32">
                  <c:v>8.6406226992000388</c:v>
                </c:pt>
                <c:pt idx="33">
                  <c:v>8.6478098920639557</c:v>
                </c:pt>
                <c:pt idx="34">
                  <c:v>8.4468853900977621</c:v>
                </c:pt>
                <c:pt idx="35">
                  <c:v>8.1786719396886554</c:v>
                </c:pt>
                <c:pt idx="36">
                  <c:v>8.3037798915977099</c:v>
                </c:pt>
                <c:pt idx="37">
                  <c:v>8.27289358553179</c:v>
                </c:pt>
                <c:pt idx="38">
                  <c:v>8.1079628771361154</c:v>
                </c:pt>
                <c:pt idx="39">
                  <c:v>8.0557836633361681</c:v>
                </c:pt>
                <c:pt idx="40">
                  <c:v>8.0467597953929371</c:v>
                </c:pt>
                <c:pt idx="41">
                  <c:v>7.9053307504315873</c:v>
                </c:pt>
                <c:pt idx="42">
                  <c:v>7.838452566140842</c:v>
                </c:pt>
                <c:pt idx="43">
                  <c:v>7.7218731144414026</c:v>
                </c:pt>
                <c:pt idx="44">
                  <c:v>7.6461925303548375</c:v>
                </c:pt>
                <c:pt idx="45">
                  <c:v>7.6666522192454112</c:v>
                </c:pt>
                <c:pt idx="46">
                  <c:v>7.5292587310602155</c:v>
                </c:pt>
                <c:pt idx="47">
                  <c:v>7.5118960416225518</c:v>
                </c:pt>
                <c:pt idx="48">
                  <c:v>7.2760567402402252</c:v>
                </c:pt>
                <c:pt idx="49">
                  <c:v>7.1531286100615628</c:v>
                </c:pt>
                <c:pt idx="50">
                  <c:v>7.0802249700704607</c:v>
                </c:pt>
                <c:pt idx="51">
                  <c:v>6.955953106708705</c:v>
                </c:pt>
                <c:pt idx="52">
                  <c:v>6.9192861350996422</c:v>
                </c:pt>
                <c:pt idx="53">
                  <c:v>6.7753589301113983</c:v>
                </c:pt>
                <c:pt idx="54">
                  <c:v>6.6393248805180365</c:v>
                </c:pt>
                <c:pt idx="55">
                  <c:v>6.6064318013405021</c:v>
                </c:pt>
                <c:pt idx="56">
                  <c:v>6.5961434703141801</c:v>
                </c:pt>
                <c:pt idx="57">
                  <c:v>6.467480905124309</c:v>
                </c:pt>
                <c:pt idx="58">
                  <c:v>6.2971172876099981</c:v>
                </c:pt>
                <c:pt idx="59">
                  <c:v>6.2014689591097181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FDC-4900-8220-F6A00B094F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1220104"/>
        <c:axId val="561215184"/>
      </c:lineChart>
      <c:catAx>
        <c:axId val="5612201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1215184"/>
        <c:crosses val="autoZero"/>
        <c:auto val="1"/>
        <c:lblAlgn val="ctr"/>
        <c:lblOffset val="100"/>
        <c:noMultiLvlLbl val="0"/>
      </c:catAx>
      <c:valAx>
        <c:axId val="561215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12201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s/s UK road vehicle - exergy efficiency vs mpUKg 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'1_UK stats LDVs'!$C$95</c:f>
              <c:strCache>
                <c:ptCount val="1"/>
                <c:pt idx="0">
                  <c:v> s/s petrol exergy efficiency y = 10log (0.416mpg) Uk Gallon</c:v>
                </c:pt>
              </c:strCache>
            </c:strRef>
          </c:tx>
          <c:marker>
            <c:symbol val="diamond"/>
            <c:size val="5"/>
          </c:marker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LDVs'!$E$95:$T$95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6.1909333062674279E-2</c:v>
                </c:pt>
                <c:pt idx="2">
                  <c:v>9.2012332629072394E-2</c:v>
                </c:pt>
                <c:pt idx="3">
                  <c:v>0.1096214585346405</c:v>
                </c:pt>
                <c:pt idx="4">
                  <c:v>0.12211533219547049</c:v>
                </c:pt>
                <c:pt idx="5">
                  <c:v>0.13180633349627616</c:v>
                </c:pt>
                <c:pt idx="6">
                  <c:v>0.13972445810103865</c:v>
                </c:pt>
                <c:pt idx="7">
                  <c:v>0.14641913706409995</c:v>
                </c:pt>
                <c:pt idx="8">
                  <c:v>0.15221833176186864</c:v>
                </c:pt>
                <c:pt idx="9">
                  <c:v>0.15733358400660674</c:v>
                </c:pt>
                <c:pt idx="10">
                  <c:v>0.1619093330626743</c:v>
                </c:pt>
                <c:pt idx="11">
                  <c:v>0.1660486015784968</c:v>
                </c:pt>
                <c:pt idx="12">
                  <c:v>0.16982745766743676</c:v>
                </c:pt>
                <c:pt idx="13">
                  <c:v>0.17330366829335794</c:v>
                </c:pt>
                <c:pt idx="14">
                  <c:v>0.17652213663049807</c:v>
                </c:pt>
                <c:pt idx="15">
                  <c:v>0.17951845896824239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CE8E-4876-9D54-AECAEE85FBEC}"/>
            </c:ext>
          </c:extLst>
        </c:ser>
        <c:ser>
          <c:idx val="1"/>
          <c:order val="1"/>
          <c:tx>
            <c:strRef>
              <c:f>'1_UK stats LDVs'!$C$96</c:f>
              <c:strCache>
                <c:ptCount val="1"/>
                <c:pt idx="0">
                  <c:v> s/s diesel exergy efficiency y = 12.5log (0.416mpg) Uk Gallon</c:v>
                </c:pt>
              </c:strCache>
            </c:strRef>
          </c:tx>
          <c:marker>
            <c:symbol val="square"/>
            <c:size val="5"/>
          </c:marker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LDVs'!$E$96:$T$96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7.7386666328342846E-2</c:v>
                </c:pt>
                <c:pt idx="2">
                  <c:v>0.11501541578634049</c:v>
                </c:pt>
                <c:pt idx="3">
                  <c:v>0.13702682316830064</c:v>
                </c:pt>
                <c:pt idx="4">
                  <c:v>0.15264416524433813</c:v>
                </c:pt>
                <c:pt idx="5">
                  <c:v>0.16475791687034519</c:v>
                </c:pt>
                <c:pt idx="6">
                  <c:v>0.1746555726262983</c:v>
                </c:pt>
                <c:pt idx="7">
                  <c:v>0.18302392133012493</c:v>
                </c:pt>
                <c:pt idx="8">
                  <c:v>0.19027291470233579</c:v>
                </c:pt>
                <c:pt idx="9">
                  <c:v>0.19666698000825844</c:v>
                </c:pt>
                <c:pt idx="10">
                  <c:v>0.20238666632834285</c:v>
                </c:pt>
                <c:pt idx="11">
                  <c:v>0.20756075197312096</c:v>
                </c:pt>
                <c:pt idx="12">
                  <c:v>0.21228432208429593</c:v>
                </c:pt>
                <c:pt idx="13">
                  <c:v>0.21662958536669744</c:v>
                </c:pt>
                <c:pt idx="14">
                  <c:v>0.22065267078812259</c:v>
                </c:pt>
                <c:pt idx="15">
                  <c:v>0.22439807371030299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CE8E-4876-9D54-AECAEE85FBEC}"/>
            </c:ext>
          </c:extLst>
        </c:ser>
        <c:ser>
          <c:idx val="2"/>
          <c:order val="2"/>
          <c:tx>
            <c:strRef>
              <c:f>'1_UK stats LDVs'!$C$100</c:f>
              <c:strCache>
                <c:ptCount val="1"/>
                <c:pt idx="0">
                  <c:v>Ayres &amp; warr y = 0.52xmpg (US Gallon)</c:v>
                </c:pt>
              </c:strCache>
            </c:strRef>
          </c:tx>
          <c:spPr>
            <a:ln w="19050"/>
          </c:spPr>
          <c:marker>
            <c:symbol val="triangle"/>
            <c:size val="5"/>
          </c:marker>
          <c:dLbls>
            <c:delete val="1"/>
          </c:dLbls>
          <c:xVal>
            <c:numRef>
              <c:f>'1_UK stats LDVs'!$E$94:$O$94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xVal>
          <c:yVal>
            <c:numRef>
              <c:f>'1_UK stats LDVs'!$E$100:$O$100</c:f>
              <c:numCache>
                <c:formatCode>0.00%</c:formatCode>
                <c:ptCount val="11"/>
                <c:pt idx="0">
                  <c:v>0</c:v>
                </c:pt>
                <c:pt idx="1">
                  <c:v>5.1999999999999998E-2</c:v>
                </c:pt>
                <c:pt idx="2">
                  <c:v>0.104</c:v>
                </c:pt>
                <c:pt idx="3">
                  <c:v>0.156</c:v>
                </c:pt>
                <c:pt idx="4">
                  <c:v>0.20799999999999999</c:v>
                </c:pt>
                <c:pt idx="5">
                  <c:v>0.26</c:v>
                </c:pt>
                <c:pt idx="6">
                  <c:v>0.312</c:v>
                </c:pt>
                <c:pt idx="7">
                  <c:v>0.36399999999999999</c:v>
                </c:pt>
                <c:pt idx="8">
                  <c:v>0.41599999999999998</c:v>
                </c:pt>
                <c:pt idx="9">
                  <c:v>0.46799999999999997</c:v>
                </c:pt>
                <c:pt idx="10">
                  <c:v>0.52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CE8E-4876-9D54-AECAEE85FBEC}"/>
            </c:ext>
          </c:extLst>
        </c:ser>
        <c:ser>
          <c:idx val="3"/>
          <c:order val="3"/>
          <c:tx>
            <c:strRef>
              <c:f>'1_UK stats LDVs'!$C$97</c:f>
              <c:strCache>
                <c:ptCount val="1"/>
                <c:pt idx="0">
                  <c:v>s/s - diesel exergy efficiency #2 y = 8log (mpgx1.25) Uk Gallon</c:v>
                </c:pt>
              </c:strCache>
            </c:strRef>
          </c:tx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LDVs'!$E$97:$T$97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8.7752801040644521E-2</c:v>
                </c:pt>
                <c:pt idx="2">
                  <c:v>0.11183520069376301</c:v>
                </c:pt>
                <c:pt idx="3">
                  <c:v>0.12592250141821751</c:v>
                </c:pt>
                <c:pt idx="4">
                  <c:v>0.1359176003468815</c:v>
                </c:pt>
                <c:pt idx="5">
                  <c:v>0.14367040138752601</c:v>
                </c:pt>
                <c:pt idx="6">
                  <c:v>0.15000490107133602</c:v>
                </c:pt>
                <c:pt idx="7">
                  <c:v>0.15536064424178506</c:v>
                </c:pt>
                <c:pt idx="8">
                  <c:v>0.16</c:v>
                </c:pt>
                <c:pt idx="9">
                  <c:v>0.16409220179579051</c:v>
                </c:pt>
                <c:pt idx="10">
                  <c:v>0.16775280104064449</c:v>
                </c:pt>
                <c:pt idx="11">
                  <c:v>0.17106421585330253</c:v>
                </c:pt>
                <c:pt idx="12">
                  <c:v>0.1740873007244545</c:v>
                </c:pt>
                <c:pt idx="13">
                  <c:v>0.17686826922519144</c:v>
                </c:pt>
                <c:pt idx="14">
                  <c:v>0.17944304389490356</c:v>
                </c:pt>
                <c:pt idx="15">
                  <c:v>0.18184010176509902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CE8E-4876-9D54-AECAEE85FBEC}"/>
            </c:ext>
          </c:extLst>
        </c:ser>
        <c:ser>
          <c:idx val="4"/>
          <c:order val="4"/>
          <c:tx>
            <c:strRef>
              <c:f>'1_UK stats LDVs'!$C$98:$C$99</c:f>
              <c:strCache>
                <c:ptCount val="1"/>
                <c:pt idx="0">
                  <c:v> s/s petrol exergy efficiency y = 16.8log (0.1916mpUKg)  s/s diesel exergy efficiency y = 21log (0.1916mpUKg)</c:v>
                </c:pt>
              </c:strCache>
            </c:strRef>
          </c:tx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LDVs'!$E$98:$T$98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4.744244479674431E-2</c:v>
                </c:pt>
                <c:pt idx="2">
                  <c:v>9.8015484068293135E-2</c:v>
                </c:pt>
                <c:pt idx="3">
                  <c:v>0.12759881558964759</c:v>
                </c:pt>
                <c:pt idx="4">
                  <c:v>0.14858852333984199</c:v>
                </c:pt>
                <c:pt idx="5">
                  <c:v>0.16486940552519549</c:v>
                </c:pt>
                <c:pt idx="6">
                  <c:v>0.17817185486119641</c:v>
                </c:pt>
                <c:pt idx="7">
                  <c:v>0.18941891551913945</c:v>
                </c:pt>
                <c:pt idx="8">
                  <c:v>0.19916156261139084</c:v>
                </c:pt>
                <c:pt idx="9">
                  <c:v>0.20775518638255089</c:v>
                </c:pt>
                <c:pt idx="10">
                  <c:v>0.21544244479674429</c:v>
                </c:pt>
                <c:pt idx="11">
                  <c:v>0.22239641590332609</c:v>
                </c:pt>
                <c:pt idx="12">
                  <c:v>0.22874489413274529</c:v>
                </c:pt>
                <c:pt idx="13">
                  <c:v>0.2345849279842929</c:v>
                </c:pt>
                <c:pt idx="14">
                  <c:v>0.2399919547906883</c:v>
                </c:pt>
                <c:pt idx="15">
                  <c:v>0.24502577631809877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CE8E-4876-9D54-AECAEE85FBEC}"/>
            </c:ext>
          </c:extLst>
        </c:ser>
        <c:ser>
          <c:idx val="5"/>
          <c:order val="5"/>
          <c:tx>
            <c:strRef>
              <c:f>'1_UK stats LDVs'!$C$99</c:f>
              <c:strCache>
                <c:ptCount val="1"/>
                <c:pt idx="0">
                  <c:v> s/s diesel exergy efficiency y = 21log (0.1916mpUKg)</c:v>
                </c:pt>
              </c:strCache>
            </c:strRef>
          </c:tx>
          <c:dLbls>
            <c:delete val="1"/>
          </c:dLbls>
          <c:xVal>
            <c:numRef>
              <c:f>'1_UK stats LDVs'!$E$94:$T$94</c:f>
              <c:numCache>
                <c:formatCode>General</c:formatCode>
                <c:ptCount val="16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</c:numCache>
            </c:numRef>
          </c:xVal>
          <c:yVal>
            <c:numRef>
              <c:f>'1_UK stats LDVs'!$E$99:$T$99</c:f>
              <c:numCache>
                <c:formatCode>0.0%</c:formatCode>
                <c:ptCount val="16"/>
                <c:pt idx="0" formatCode="General">
                  <c:v>0</c:v>
                </c:pt>
                <c:pt idx="1">
                  <c:v>5.930305599593038E-2</c:v>
                </c:pt>
                <c:pt idx="2">
                  <c:v>0.12251935508536642</c:v>
                </c:pt>
                <c:pt idx="3">
                  <c:v>0.15949851948705948</c:v>
                </c:pt>
                <c:pt idx="4">
                  <c:v>0.18573565417480251</c:v>
                </c:pt>
                <c:pt idx="5">
                  <c:v>0.20608675690649433</c:v>
                </c:pt>
                <c:pt idx="6">
                  <c:v>0.2227148185764955</c:v>
                </c:pt>
                <c:pt idx="7">
                  <c:v>0.23677364439892432</c:v>
                </c:pt>
                <c:pt idx="8">
                  <c:v>0.24895195326423855</c:v>
                </c:pt>
                <c:pt idx="9">
                  <c:v>0.25969398297818858</c:v>
                </c:pt>
                <c:pt idx="10">
                  <c:v>0.26930305599593035</c:v>
                </c:pt>
                <c:pt idx="11">
                  <c:v>0.2779955198791576</c:v>
                </c:pt>
                <c:pt idx="12">
                  <c:v>0.2859311176659316</c:v>
                </c:pt>
                <c:pt idx="13">
                  <c:v>0.29323115998036614</c:v>
                </c:pt>
                <c:pt idx="14">
                  <c:v>0.29998994348836039</c:v>
                </c:pt>
                <c:pt idx="15">
                  <c:v>0.30628222039762343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CE8E-4876-9D54-AECAEE85FBEC}"/>
            </c:ext>
          </c:extLst>
        </c:ser>
        <c:dLbls>
          <c:dLblPos val="r"/>
          <c:showLegendKey val="0"/>
          <c:showVal val="1"/>
          <c:showCatName val="1"/>
          <c:showSerName val="0"/>
          <c:showPercent val="0"/>
          <c:showBubbleSize val="0"/>
        </c:dLbls>
        <c:axId val="517209088"/>
        <c:axId val="517215360"/>
      </c:scatterChart>
      <c:valAx>
        <c:axId val="5172090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mpUKg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17215360"/>
        <c:crosses val="autoZero"/>
        <c:crossBetween val="midCat"/>
      </c:valAx>
      <c:valAx>
        <c:axId val="51721536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% exergy efficiency</a:t>
                </a:r>
              </a:p>
            </c:rich>
          </c:tx>
          <c:overlay val="0"/>
        </c:title>
        <c:numFmt formatCode="0.0%" sourceLinked="0"/>
        <c:majorTickMark val="out"/>
        <c:minorTickMark val="none"/>
        <c:tickLblPos val="nextTo"/>
        <c:crossAx val="517209088"/>
        <c:crosses val="autoZero"/>
        <c:crossBetween val="midCat"/>
      </c:valAx>
    </c:plotArea>
    <c:legend>
      <c:legendPos val="r"/>
      <c:layout>
        <c:manualLayout>
          <c:xMode val="edge"/>
          <c:yMode val="edge"/>
          <c:x val="0.66070962171095737"/>
          <c:y val="4.459943675359105E-2"/>
          <c:w val="0.33097004592998169"/>
          <c:h val="0.95540056324640898"/>
        </c:manualLayout>
      </c:layout>
      <c:overlay val="0"/>
    </c:legend>
    <c:plotVisOnly val="1"/>
    <c:dispBlanksAs val="gap"/>
    <c:showDLblsOverMax val="0"/>
  </c:chart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&amp; US road vehicles - exergy efficiency vs mpg 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2"/>
          <c:order val="0"/>
          <c:tx>
            <c:strRef>
              <c:f>'1_UK stats LDVs'!$C$100</c:f>
              <c:strCache>
                <c:ptCount val="1"/>
                <c:pt idx="0">
                  <c:v>Ayres &amp; warr y = 0.52xmpg (US Gallon)</c:v>
                </c:pt>
              </c:strCache>
            </c:strRef>
          </c:tx>
          <c:spPr>
            <a:ln w="19050"/>
          </c:spPr>
          <c:marker>
            <c:symbol val="triangle"/>
            <c:size val="5"/>
          </c:marker>
          <c:dLbls>
            <c:delete val="1"/>
          </c:dLbls>
          <c:xVal>
            <c:numRef>
              <c:f>'1_UK stats LDVs'!$E$94:$O$94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xVal>
          <c:yVal>
            <c:numRef>
              <c:f>'1_UK stats LDVs'!$E$100:$O$100</c:f>
              <c:numCache>
                <c:formatCode>0.00%</c:formatCode>
                <c:ptCount val="11"/>
                <c:pt idx="0">
                  <c:v>0</c:v>
                </c:pt>
                <c:pt idx="1">
                  <c:v>5.1999999999999998E-2</c:v>
                </c:pt>
                <c:pt idx="2">
                  <c:v>0.104</c:v>
                </c:pt>
                <c:pt idx="3">
                  <c:v>0.156</c:v>
                </c:pt>
                <c:pt idx="4">
                  <c:v>0.20799999999999999</c:v>
                </c:pt>
                <c:pt idx="5">
                  <c:v>0.26</c:v>
                </c:pt>
                <c:pt idx="6">
                  <c:v>0.312</c:v>
                </c:pt>
                <c:pt idx="7">
                  <c:v>0.36399999999999999</c:v>
                </c:pt>
                <c:pt idx="8">
                  <c:v>0.41599999999999998</c:v>
                </c:pt>
                <c:pt idx="9">
                  <c:v>0.46799999999999997</c:v>
                </c:pt>
                <c:pt idx="10">
                  <c:v>0.52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3BD-4F80-AB7C-1B0D203B7E69}"/>
            </c:ext>
          </c:extLst>
        </c:ser>
        <c:ser>
          <c:idx val="0"/>
          <c:order val="1"/>
          <c:tx>
            <c:strRef>
              <c:f>'1_UK stats LDVs'!$C$298</c:f>
              <c:strCache>
                <c:ptCount val="1"/>
                <c:pt idx="0">
                  <c:v>UK road vehicle efficiency based on exp function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pPr>
              <a:solidFill>
                <a:srgbClr val="FF0000"/>
              </a:solidFill>
            </c:spPr>
          </c:marker>
          <c:dLbls>
            <c:delete val="1"/>
          </c:dLbls>
          <c:xVal>
            <c:numRef>
              <c:f>'1_UK stats LDVs'!$D$50:$BB$50</c:f>
              <c:numCache>
                <c:formatCode>0.00</c:formatCode>
                <c:ptCount val="51"/>
                <c:pt idx="0">
                  <c:v>23.478427268870355</c:v>
                </c:pt>
                <c:pt idx="1">
                  <c:v>23.006506303856494</c:v>
                </c:pt>
                <c:pt idx="2">
                  <c:v>23.108329666134455</c:v>
                </c:pt>
                <c:pt idx="3">
                  <c:v>23.032909068193181</c:v>
                </c:pt>
                <c:pt idx="4">
                  <c:v>22.794662134534597</c:v>
                </c:pt>
                <c:pt idx="5">
                  <c:v>22.880546718264217</c:v>
                </c:pt>
                <c:pt idx="6">
                  <c:v>22.704395141888025</c:v>
                </c:pt>
                <c:pt idx="7">
                  <c:v>23.268529360508555</c:v>
                </c:pt>
                <c:pt idx="8">
                  <c:v>23.658360451878419</c:v>
                </c:pt>
                <c:pt idx="9">
                  <c:v>23.830014699056644</c:v>
                </c:pt>
                <c:pt idx="10">
                  <c:v>22.750468797521485</c:v>
                </c:pt>
                <c:pt idx="11">
                  <c:v>22.955283896529775</c:v>
                </c:pt>
                <c:pt idx="12">
                  <c:v>22.838979904524315</c:v>
                </c:pt>
                <c:pt idx="13">
                  <c:v>22.527526646754993</c:v>
                </c:pt>
                <c:pt idx="14">
                  <c:v>22.743865833392739</c:v>
                </c:pt>
                <c:pt idx="15">
                  <c:v>23.509290304185523</c:v>
                </c:pt>
                <c:pt idx="16">
                  <c:v>23.625291486176163</c:v>
                </c:pt>
                <c:pt idx="17">
                  <c:v>23.397558705009107</c:v>
                </c:pt>
                <c:pt idx="18">
                  <c:v>23.023424673303364</c:v>
                </c:pt>
                <c:pt idx="19">
                  <c:v>22.50374528903393</c:v>
                </c:pt>
                <c:pt idx="20">
                  <c:v>23.512086501867884</c:v>
                </c:pt>
                <c:pt idx="21">
                  <c:v>24.634600692847787</c:v>
                </c:pt>
                <c:pt idx="22">
                  <c:v>24.664535164528573</c:v>
                </c:pt>
                <c:pt idx="23">
                  <c:v>24.45758965533113</c:v>
                </c:pt>
                <c:pt idx="24">
                  <c:v>24.775923509587518</c:v>
                </c:pt>
                <c:pt idx="25">
                  <c:v>25.078531845126697</c:v>
                </c:pt>
                <c:pt idx="26">
                  <c:v>24.936490463387958</c:v>
                </c:pt>
                <c:pt idx="27">
                  <c:v>25.676690230438638</c:v>
                </c:pt>
                <c:pt idx="28">
                  <c:v>25.970486211682438</c:v>
                </c:pt>
                <c:pt idx="29">
                  <c:v>26.769829009475384</c:v>
                </c:pt>
                <c:pt idx="30">
                  <c:v>25.897167514278749</c:v>
                </c:pt>
                <c:pt idx="31">
                  <c:v>25.902559543886468</c:v>
                </c:pt>
                <c:pt idx="32">
                  <c:v>25.437224565792668</c:v>
                </c:pt>
                <c:pt idx="33">
                  <c:v>25.008550294898658</c:v>
                </c:pt>
                <c:pt idx="34">
                  <c:v>25.417999555816259</c:v>
                </c:pt>
                <c:pt idx="35">
                  <c:v>26.078231127793721</c:v>
                </c:pt>
                <c:pt idx="36">
                  <c:v>25.651849532938392</c:v>
                </c:pt>
                <c:pt idx="37">
                  <c:v>25.817190268531142</c:v>
                </c:pt>
                <c:pt idx="38">
                  <c:v>26.41643247790881</c:v>
                </c:pt>
                <c:pt idx="39">
                  <c:v>26.562444844897268</c:v>
                </c:pt>
                <c:pt idx="40">
                  <c:v>26.644906168445836</c:v>
                </c:pt>
                <c:pt idx="41">
                  <c:v>27.037342572628869</c:v>
                </c:pt>
                <c:pt idx="42">
                  <c:v>27.114331958364513</c:v>
                </c:pt>
                <c:pt idx="43">
                  <c:v>27.384264436441466</c:v>
                </c:pt>
                <c:pt idx="44">
                  <c:v>27.537897616726589</c:v>
                </c:pt>
                <c:pt idx="45">
                  <c:v>27.366503546228586</c:v>
                </c:pt>
                <c:pt idx="46">
                  <c:v>27.771814730730803</c:v>
                </c:pt>
                <c:pt idx="47">
                  <c:v>27.757336122113824</c:v>
                </c:pt>
                <c:pt idx="48">
                  <c:v>28.635086768387637</c:v>
                </c:pt>
                <c:pt idx="49">
                  <c:v>29.419383034468524</c:v>
                </c:pt>
                <c:pt idx="50">
                  <c:v>29.64599726007539</c:v>
                </c:pt>
              </c:numCache>
            </c:numRef>
          </c:xVal>
          <c:yVal>
            <c:numRef>
              <c:f>'1_UK stats LDVs'!$D$51:$BB$51</c:f>
              <c:numCache>
                <c:formatCode>0.00%</c:formatCode>
                <c:ptCount val="51"/>
                <c:pt idx="0">
                  <c:v>0.14763239699834313</c:v>
                </c:pt>
                <c:pt idx="1">
                  <c:v>0.14737477549663267</c:v>
                </c:pt>
                <c:pt idx="2">
                  <c:v>0.14720665278984113</c:v>
                </c:pt>
                <c:pt idx="3">
                  <c:v>0.14693632282650526</c:v>
                </c:pt>
                <c:pt idx="4">
                  <c:v>0.14699474954390571</c:v>
                </c:pt>
                <c:pt idx="5">
                  <c:v>0.14712766261102131</c:v>
                </c:pt>
                <c:pt idx="6">
                  <c:v>0.14715526432209963</c:v>
                </c:pt>
                <c:pt idx="7">
                  <c:v>0.14721276536470465</c:v>
                </c:pt>
                <c:pt idx="8">
                  <c:v>0.14714253099884539</c:v>
                </c:pt>
                <c:pt idx="9">
                  <c:v>0.1470219170470678</c:v>
                </c:pt>
                <c:pt idx="10">
                  <c:v>0.1472999835144928</c:v>
                </c:pt>
                <c:pt idx="11">
                  <c:v>0.14824039505250283</c:v>
                </c:pt>
                <c:pt idx="12">
                  <c:v>0.14827057812020003</c:v>
                </c:pt>
                <c:pt idx="13">
                  <c:v>0.1465475622730712</c:v>
                </c:pt>
                <c:pt idx="14">
                  <c:v>0.14742415452486934</c:v>
                </c:pt>
                <c:pt idx="15">
                  <c:v>0.15036117931815446</c:v>
                </c:pt>
                <c:pt idx="16">
                  <c:v>0.15095490304223652</c:v>
                </c:pt>
                <c:pt idx="17">
                  <c:v>0.14957088708385496</c:v>
                </c:pt>
                <c:pt idx="18">
                  <c:v>0.14837559578494805</c:v>
                </c:pt>
                <c:pt idx="19">
                  <c:v>0.14573275997339308</c:v>
                </c:pt>
                <c:pt idx="20">
                  <c:v>0.15099280477989488</c:v>
                </c:pt>
                <c:pt idx="21">
                  <c:v>0.15620118045906745</c:v>
                </c:pt>
                <c:pt idx="22">
                  <c:v>0.15555323110656968</c:v>
                </c:pt>
                <c:pt idx="23">
                  <c:v>0.15346033732743328</c:v>
                </c:pt>
                <c:pt idx="24">
                  <c:v>0.15353937333856801</c:v>
                </c:pt>
                <c:pt idx="25">
                  <c:v>0.15360602548156096</c:v>
                </c:pt>
                <c:pt idx="26">
                  <c:v>0.15132249723278485</c:v>
                </c:pt>
                <c:pt idx="27">
                  <c:v>0.15526003751409223</c:v>
                </c:pt>
                <c:pt idx="28">
                  <c:v>0.15645783431187543</c:v>
                </c:pt>
                <c:pt idx="29">
                  <c:v>0.16185575659230395</c:v>
                </c:pt>
                <c:pt idx="30">
                  <c:v>0.1617086296199047</c:v>
                </c:pt>
                <c:pt idx="31">
                  <c:v>0.16363611561162922</c:v>
                </c:pt>
                <c:pt idx="32">
                  <c:v>0.16326563603009445</c:v>
                </c:pt>
                <c:pt idx="33">
                  <c:v>0.16350738722587371</c:v>
                </c:pt>
                <c:pt idx="34">
                  <c:v>0.16749700833758235</c:v>
                </c:pt>
                <c:pt idx="35">
                  <c:v>0.17271189074931081</c:v>
                </c:pt>
                <c:pt idx="36">
                  <c:v>0.17228131062597363</c:v>
                </c:pt>
                <c:pt idx="37">
                  <c:v>0.17444457123391371</c:v>
                </c:pt>
                <c:pt idx="38">
                  <c:v>0.17823139444533692</c:v>
                </c:pt>
                <c:pt idx="39">
                  <c:v>0.1804610713795789</c:v>
                </c:pt>
                <c:pt idx="40">
                  <c:v>0.18183008634988565</c:v>
                </c:pt>
                <c:pt idx="41">
                  <c:v>0.18471812966039275</c:v>
                </c:pt>
                <c:pt idx="42">
                  <c:v>0.18628361331338614</c:v>
                </c:pt>
                <c:pt idx="43">
                  <c:v>0.18894929588073028</c:v>
                </c:pt>
                <c:pt idx="44">
                  <c:v>0.19114645023909277</c:v>
                </c:pt>
                <c:pt idx="45">
                  <c:v>0.19170298586136666</c:v>
                </c:pt>
                <c:pt idx="46">
                  <c:v>0.19508055161389612</c:v>
                </c:pt>
                <c:pt idx="47">
                  <c:v>0.19630390684006505</c:v>
                </c:pt>
                <c:pt idx="48">
                  <c:v>0.20194351987759496</c:v>
                </c:pt>
                <c:pt idx="49">
                  <c:v>0.20631768793228805</c:v>
                </c:pt>
                <c:pt idx="50">
                  <c:v>0.20837792754899609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23BD-4F80-AB7C-1B0D203B7E69}"/>
            </c:ext>
          </c:extLst>
        </c:ser>
        <c:ser>
          <c:idx val="1"/>
          <c:order val="2"/>
          <c:tx>
            <c:strRef>
              <c:f>'1_UK stats LDVs'!$C$306</c:f>
              <c:strCache>
                <c:ptCount val="1"/>
                <c:pt idx="0">
                  <c:v>US petrol road vehicles - exergy efficiency</c:v>
                </c:pt>
              </c:strCache>
            </c:strRef>
          </c:tx>
          <c:marker>
            <c:spPr>
              <a:noFill/>
            </c:spPr>
          </c:marker>
          <c:dLbls>
            <c:delete val="1"/>
          </c:dLbls>
          <c:xVal>
            <c:numRef>
              <c:f>'1_UK stats LDVs'!$D$305:$BB$305</c:f>
              <c:numCache>
                <c:formatCode>0.0</c:formatCode>
                <c:ptCount val="51"/>
                <c:pt idx="0" formatCode="#,##0.0">
                  <c:v>13.197054801575648</c:v>
                </c:pt>
                <c:pt idx="1">
                  <c:v>13.295086955157087</c:v>
                </c:pt>
                <c:pt idx="2">
                  <c:v>13.393119108738526</c:v>
                </c:pt>
                <c:pt idx="3">
                  <c:v>13.491151262319965</c:v>
                </c:pt>
                <c:pt idx="4">
                  <c:v>13.589183415901404</c:v>
                </c:pt>
                <c:pt idx="5" formatCode="#,##0.0">
                  <c:v>13.68721556948284</c:v>
                </c:pt>
                <c:pt idx="6">
                  <c:v>13.628390780428564</c:v>
                </c:pt>
                <c:pt idx="7">
                  <c:v>13.569565991374288</c:v>
                </c:pt>
                <c:pt idx="8">
                  <c:v>13.510741202320013</c:v>
                </c:pt>
                <c:pt idx="9">
                  <c:v>13.451916413265737</c:v>
                </c:pt>
                <c:pt idx="10" formatCode="#,##0.00">
                  <c:v>13.393091624211458</c:v>
                </c:pt>
                <c:pt idx="11" formatCode="#,##0.00">
                  <c:v>13.405942192706743</c:v>
                </c:pt>
                <c:pt idx="12" formatCode="#,##0.00">
                  <c:v>13.418792761202027</c:v>
                </c:pt>
                <c:pt idx="13" formatCode="#,##0.00">
                  <c:v>13.431643329697312</c:v>
                </c:pt>
                <c:pt idx="14" formatCode="#,##0.00">
                  <c:v>13.444493898192597</c:v>
                </c:pt>
                <c:pt idx="15" formatCode="#,##0.00">
                  <c:v>13.45734446668788</c:v>
                </c:pt>
                <c:pt idx="16" formatCode="#,##0.00">
                  <c:v>13.826593251845654</c:v>
                </c:pt>
                <c:pt idx="17" formatCode="#,##0.00">
                  <c:v>14.195842037003429</c:v>
                </c:pt>
                <c:pt idx="18" formatCode="#,##0.00">
                  <c:v>14.565090822161203</c:v>
                </c:pt>
                <c:pt idx="19" formatCode="#,##0.00">
                  <c:v>14.934339607318977</c:v>
                </c:pt>
                <c:pt idx="20" formatCode="#,##0.0">
                  <c:v>15.303588392476749</c:v>
                </c:pt>
                <c:pt idx="21" formatCode="#,##0.00">
                  <c:v>15.696882728057679</c:v>
                </c:pt>
                <c:pt idx="22" formatCode="#,##0.00">
                  <c:v>16.09017706363861</c:v>
                </c:pt>
                <c:pt idx="23" formatCode="#,##0.00">
                  <c:v>16.483471399219539</c:v>
                </c:pt>
                <c:pt idx="24" formatCode="#,##0.00">
                  <c:v>16.876765734800468</c:v>
                </c:pt>
                <c:pt idx="25" formatCode="#,##0.0">
                  <c:v>17.270060070381398</c:v>
                </c:pt>
                <c:pt idx="26" formatCode="#,##0.00">
                  <c:v>17.67184947057304</c:v>
                </c:pt>
                <c:pt idx="27" formatCode="#,##0.00">
                  <c:v>18.073638870764682</c:v>
                </c:pt>
                <c:pt idx="28" formatCode="#,##0.00">
                  <c:v>18.475428270956325</c:v>
                </c:pt>
                <c:pt idx="29" formatCode="#,##0.00">
                  <c:v>18.877217671147967</c:v>
                </c:pt>
                <c:pt idx="30" formatCode="#,##0.0">
                  <c:v>19.279007071339617</c:v>
                </c:pt>
                <c:pt idx="31" formatCode="#,##0.0">
                  <c:v>19.913392821192801</c:v>
                </c:pt>
                <c:pt idx="32" formatCode="#,##0.0">
                  <c:v>19.988444728746977</c:v>
                </c:pt>
                <c:pt idx="33" formatCode="#,##0.0">
                  <c:v>20.018615279872112</c:v>
                </c:pt>
                <c:pt idx="34" formatCode="#,##0.0">
                  <c:v>19.904044146485482</c:v>
                </c:pt>
                <c:pt idx="35" formatCode="#,##0.0">
                  <c:v>19.995298550986774</c:v>
                </c:pt>
                <c:pt idx="36" formatCode="#,##0.0">
                  <c:v>20.047069647114174</c:v>
                </c:pt>
                <c:pt idx="37" formatCode="#,##0.0">
                  <c:v>20.186048676831316</c:v>
                </c:pt>
                <c:pt idx="38" formatCode="#,##0.0">
                  <c:v>20.625026158056269</c:v>
                </c:pt>
                <c:pt idx="39" formatCode="#,##0.0">
                  <c:v>20.315369048251508</c:v>
                </c:pt>
                <c:pt idx="40" formatCode="#,##0.0">
                  <c:v>20.624399364619347</c:v>
                </c:pt>
                <c:pt idx="41" formatCode="#,##0.0">
                  <c:v>20.79656680098352</c:v>
                </c:pt>
                <c:pt idx="42" formatCode="#,##0.0">
                  <c:v>20.736660060709248</c:v>
                </c:pt>
                <c:pt idx="43" formatCode="#,##0.0">
                  <c:v>20.193017194526458</c:v>
                </c:pt>
                <c:pt idx="44" formatCode="#,##0.0">
                  <c:v>20.552284807884224</c:v>
                </c:pt>
                <c:pt idx="45" formatCode="#,##0.0">
                  <c:v>21.044466333604017</c:v>
                </c:pt>
                <c:pt idx="46" formatCode="#,##0.0">
                  <c:v>21.274145831973524</c:v>
                </c:pt>
                <c:pt idx="47" formatCode="#,##0.0">
                  <c:v>21.528463794298183</c:v>
                </c:pt>
                <c:pt idx="48" formatCode="#,##0.0">
                  <c:v>22.291194577534764</c:v>
                </c:pt>
                <c:pt idx="49" formatCode="#,##0.0">
                  <c:v>22.893671884457859</c:v>
                </c:pt>
                <c:pt idx="50" formatCode="#,##0.0">
                  <c:v>22.41287587147643</c:v>
                </c:pt>
              </c:numCache>
            </c:numRef>
          </c:xVal>
          <c:yVal>
            <c:numRef>
              <c:f>'1_UK stats LDVs'!$D$306:$BB$306</c:f>
              <c:numCache>
                <c:formatCode>0.0%</c:formatCode>
                <c:ptCount val="51"/>
                <c:pt idx="0">
                  <c:v>8.1010415833571173E-2</c:v>
                </c:pt>
                <c:pt idx="1">
                  <c:v>8.1550395049725694E-2</c:v>
                </c:pt>
                <c:pt idx="2">
                  <c:v>8.2086407284866228E-2</c:v>
                </c:pt>
                <c:pt idx="3">
                  <c:v>8.2618510401362991E-2</c:v>
                </c:pt>
                <c:pt idx="4">
                  <c:v>8.3146761004776124E-2</c:v>
                </c:pt>
                <c:pt idx="5">
                  <c:v>8.367121447999247E-2</c:v>
                </c:pt>
                <c:pt idx="6">
                  <c:v>8.335696556046672E-2</c:v>
                </c:pt>
                <c:pt idx="7">
                  <c:v>8.3041357297363699E-2</c:v>
                </c:pt>
                <c:pt idx="8">
                  <c:v>8.2724377879373492E-2</c:v>
                </c:pt>
                <c:pt idx="9">
                  <c:v>8.2406015340571945E-2</c:v>
                </c:pt>
                <c:pt idx="10">
                  <c:v>8.2086257557710082E-2</c:v>
                </c:pt>
                <c:pt idx="11">
                  <c:v>8.2156229966719577E-2</c:v>
                </c:pt>
                <c:pt idx="12">
                  <c:v>8.222613533421877E-2</c:v>
                </c:pt>
                <c:pt idx="13">
                  <c:v>8.2295973788551469E-2</c:v>
                </c:pt>
                <c:pt idx="14">
                  <c:v>8.2365745457693235E-2</c:v>
                </c:pt>
                <c:pt idx="15">
                  <c:v>8.2435450469252894E-2</c:v>
                </c:pt>
                <c:pt idx="16">
                  <c:v>8.4410427873277072E-2</c:v>
                </c:pt>
                <c:pt idx="17">
                  <c:v>8.6333351016526547E-2</c:v>
                </c:pt>
                <c:pt idx="18">
                  <c:v>8.8206893557239263E-2</c:v>
                </c:pt>
                <c:pt idx="19">
                  <c:v>9.0033528310542885E-2</c:v>
                </c:pt>
                <c:pt idx="20">
                  <c:v>9.1815546874265228E-2</c:v>
                </c:pt>
                <c:pt idx="21">
                  <c:v>9.3666929945199526E-2</c:v>
                </c:pt>
                <c:pt idx="22">
                  <c:v>9.5472494765297858E-2</c:v>
                </c:pt>
                <c:pt idx="23">
                  <c:v>9.7234454504146209E-2</c:v>
                </c:pt>
                <c:pt idx="24">
                  <c:v>9.8954865750711593E-2</c:v>
                </c:pt>
                <c:pt idx="25">
                  <c:v>0.10063564294433185</c:v>
                </c:pt>
                <c:pt idx="26">
                  <c:v>0.10231365304629186</c:v>
                </c:pt>
                <c:pt idx="27">
                  <c:v>0.10395393731760849</c:v>
                </c:pt>
                <c:pt idx="28">
                  <c:v>0.10555815486631487</c:v>
                </c:pt>
                <c:pt idx="29">
                  <c:v>0.10712785770467832</c:v>
                </c:pt>
                <c:pt idx="30">
                  <c:v>0.108664499772788</c:v>
                </c:pt>
                <c:pt idx="31">
                  <c:v>0.11102668028735753</c:v>
                </c:pt>
                <c:pt idx="32">
                  <c:v>0.11130114905959694</c:v>
                </c:pt>
                <c:pt idx="33">
                  <c:v>0.1114111940500023</c:v>
                </c:pt>
                <c:pt idx="34">
                  <c:v>0.11099241926297493</c:v>
                </c:pt>
                <c:pt idx="35">
                  <c:v>0.11132616247404487</c:v>
                </c:pt>
                <c:pt idx="36">
                  <c:v>0.11151482751584424</c:v>
                </c:pt>
                <c:pt idx="37">
                  <c:v>0.11201889756925659</c:v>
                </c:pt>
                <c:pt idx="38">
                  <c:v>0.11358855379898984</c:v>
                </c:pt>
                <c:pt idx="39">
                  <c:v>0.11248482875773348</c:v>
                </c:pt>
                <c:pt idx="40">
                  <c:v>0.11358633647005378</c:v>
                </c:pt>
                <c:pt idx="41">
                  <c:v>0.11419287288180388</c:v>
                </c:pt>
                <c:pt idx="42">
                  <c:v>0.11398239624071162</c:v>
                </c:pt>
                <c:pt idx="43">
                  <c:v>0.1120440805847355</c:v>
                </c:pt>
                <c:pt idx="44">
                  <c:v>0.11333077486928685</c:v>
                </c:pt>
                <c:pt idx="45">
                  <c:v>0.11505744649932406</c:v>
                </c:pt>
                <c:pt idx="46">
                  <c:v>0.11584943461976704</c:v>
                </c:pt>
                <c:pt idx="47">
                  <c:v>0.11671646733823322</c:v>
                </c:pt>
                <c:pt idx="48">
                  <c:v>0.11925667804092364</c:v>
                </c:pt>
                <c:pt idx="49">
                  <c:v>0.12120247274884542</c:v>
                </c:pt>
                <c:pt idx="50">
                  <c:v>0.11965387088148896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23BD-4F80-AB7C-1B0D203B7E69}"/>
            </c:ext>
          </c:extLst>
        </c:ser>
        <c:dLbls>
          <c:dLblPos val="r"/>
          <c:showLegendKey val="0"/>
          <c:showVal val="1"/>
          <c:showCatName val="1"/>
          <c:showSerName val="0"/>
          <c:showPercent val="0"/>
          <c:showBubbleSize val="0"/>
        </c:dLbls>
        <c:axId val="517254144"/>
        <c:axId val="517260800"/>
      </c:scatterChart>
      <c:valAx>
        <c:axId val="517254144"/>
        <c:scaling>
          <c:orientation val="minMax"/>
          <c:max val="4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mpg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17260800"/>
        <c:crosses val="autoZero"/>
        <c:crossBetween val="midCat"/>
        <c:majorUnit val="5"/>
      </c:valAx>
      <c:valAx>
        <c:axId val="517260800"/>
        <c:scaling>
          <c:orientation val="minMax"/>
          <c:max val="0.3000000000000000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% exergy efficiency</a:t>
                </a:r>
              </a:p>
            </c:rich>
          </c:tx>
          <c:overlay val="0"/>
        </c:title>
        <c:numFmt formatCode="0.00%" sourceLinked="1"/>
        <c:majorTickMark val="out"/>
        <c:minorTickMark val="none"/>
        <c:tickLblPos val="nextTo"/>
        <c:crossAx val="517254144"/>
        <c:crosses val="autoZero"/>
        <c:crossBetween val="midCat"/>
        <c:majorUnit val="5.000000000000001E-2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eta - GBR road vehicles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gasoline-motorcycles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LDVs'!$D$27:$BJ$27</c:f>
              <c:numCache>
                <c:formatCode>0.00%</c:formatCode>
                <c:ptCount val="59"/>
                <c:pt idx="0">
                  <c:v>0.21066572223769853</c:v>
                </c:pt>
                <c:pt idx="1">
                  <c:v>0.21128941788248043</c:v>
                </c:pt>
                <c:pt idx="2">
                  <c:v>0.21191333920497701</c:v>
                </c:pt>
                <c:pt idx="3">
                  <c:v>0.21253747261499017</c:v>
                </c:pt>
                <c:pt idx="4">
                  <c:v>0.21316180444179583</c:v>
                </c:pt>
                <c:pt idx="5">
                  <c:v>0.21378632093462979</c:v>
                </c:pt>
                <c:pt idx="6">
                  <c:v>0.21441100826318832</c:v>
                </c:pt>
                <c:pt idx="7">
                  <c:v>0.21503585251814206</c:v>
                </c:pt>
                <c:pt idx="8">
                  <c:v>0.21566083971166505</c:v>
                </c:pt>
                <c:pt idx="9">
                  <c:v>0.21628595577797724</c:v>
                </c:pt>
                <c:pt idx="10">
                  <c:v>0.21691118657390213</c:v>
                </c:pt>
                <c:pt idx="11">
                  <c:v>0.21596756907662734</c:v>
                </c:pt>
                <c:pt idx="12">
                  <c:v>0.21960114191949759</c:v>
                </c:pt>
                <c:pt idx="13">
                  <c:v>0.21710729192942196</c:v>
                </c:pt>
                <c:pt idx="14">
                  <c:v>0.21802259747709357</c:v>
                </c:pt>
                <c:pt idx="15">
                  <c:v>0.22575712376045887</c:v>
                </c:pt>
                <c:pt idx="16">
                  <c:v>0.22231057885006306</c:v>
                </c:pt>
                <c:pt idx="17">
                  <c:v>0.22406821742831134</c:v>
                </c:pt>
                <c:pt idx="18">
                  <c:v>0.2197330876707114</c:v>
                </c:pt>
                <c:pt idx="19">
                  <c:v>0.21820314092517162</c:v>
                </c:pt>
                <c:pt idx="20">
                  <c:v>0.22316663901345188</c:v>
                </c:pt>
                <c:pt idx="21">
                  <c:v>0.2275508830648256</c:v>
                </c:pt>
                <c:pt idx="22">
                  <c:v>0.22726892887894581</c:v>
                </c:pt>
                <c:pt idx="23">
                  <c:v>0.22832985101676964</c:v>
                </c:pt>
                <c:pt idx="24">
                  <c:v>0.22786768571411378</c:v>
                </c:pt>
                <c:pt idx="25">
                  <c:v>0.23162091473038177</c:v>
                </c:pt>
                <c:pt idx="26">
                  <c:v>0.23135000121143645</c:v>
                </c:pt>
                <c:pt idx="27">
                  <c:v>0.23633891058248224</c:v>
                </c:pt>
                <c:pt idx="28">
                  <c:v>0.23603936990344127</c:v>
                </c:pt>
                <c:pt idx="29">
                  <c:v>0.245605963296887</c:v>
                </c:pt>
                <c:pt idx="30">
                  <c:v>0.24093219316582887</c:v>
                </c:pt>
                <c:pt idx="31">
                  <c:v>0.24146440729299207</c:v>
                </c:pt>
                <c:pt idx="32">
                  <c:v>0.23701176763607865</c:v>
                </c:pt>
                <c:pt idx="33">
                  <c:v>0.23311740610277465</c:v>
                </c:pt>
                <c:pt idx="34">
                  <c:v>0.23626310225738945</c:v>
                </c:pt>
                <c:pt idx="35">
                  <c:v>0.23911836427076558</c:v>
                </c:pt>
                <c:pt idx="36">
                  <c:v>0.23422367215607071</c:v>
                </c:pt>
                <c:pt idx="37">
                  <c:v>0.23599048133993086</c:v>
                </c:pt>
                <c:pt idx="38">
                  <c:v>0.23745359000524002</c:v>
                </c:pt>
                <c:pt idx="39">
                  <c:v>0.2338464307991083</c:v>
                </c:pt>
                <c:pt idx="40">
                  <c:v>0.23402694513528133</c:v>
                </c:pt>
                <c:pt idx="41">
                  <c:v>0.23987858941171114</c:v>
                </c:pt>
                <c:pt idx="42">
                  <c:v>0.23861959172703753</c:v>
                </c:pt>
                <c:pt idx="43">
                  <c:v>0.23951914255892942</c:v>
                </c:pt>
                <c:pt idx="44">
                  <c:v>0.24315647313669533</c:v>
                </c:pt>
                <c:pt idx="45">
                  <c:v>0.24133202405425394</c:v>
                </c:pt>
                <c:pt idx="46">
                  <c:v>0.24646619798990485</c:v>
                </c:pt>
                <c:pt idx="47">
                  <c:v>0.24600371280985353</c:v>
                </c:pt>
                <c:pt idx="48">
                  <c:v>0.24548031354253269</c:v>
                </c:pt>
                <c:pt idx="49">
                  <c:v>0.25295799313390932</c:v>
                </c:pt>
                <c:pt idx="50">
                  <c:v>0.25627107865876014</c:v>
                </c:pt>
                <c:pt idx="51">
                  <c:v>0.25724376377177294</c:v>
                </c:pt>
                <c:pt idx="52">
                  <c:v>0.26109197247310278</c:v>
                </c:pt>
                <c:pt idx="53">
                  <c:v>0.26332415624853028</c:v>
                </c:pt>
                <c:pt idx="54">
                  <c:v>0.26423287809489254</c:v>
                </c:pt>
                <c:pt idx="55">
                  <c:v>0.26304664368496994</c:v>
                </c:pt>
                <c:pt idx="56">
                  <c:v>0.26604482537281854</c:v>
                </c:pt>
                <c:pt idx="57">
                  <c:v>0.26548008502582765</c:v>
                </c:pt>
                <c:pt idx="58">
                  <c:v>0.26827358211888752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B4-40EB-A9CE-9FAF7EA5A1D9}"/>
            </c:ext>
          </c:extLst>
        </c:ser>
        <c:ser>
          <c:idx val="1"/>
          <c:order val="1"/>
          <c:tx>
            <c:v>gasoline-cars/vans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LDVs'!$D$28:$BJ$28</c:f>
              <c:numCache>
                <c:formatCode>0.00%</c:formatCode>
                <c:ptCount val="59"/>
                <c:pt idx="0">
                  <c:v>0.10769496290530746</c:v>
                </c:pt>
                <c:pt idx="1">
                  <c:v>0.10789569974769969</c:v>
                </c:pt>
                <c:pt idx="2">
                  <c:v>0.10810362137103935</c:v>
                </c:pt>
                <c:pt idx="3">
                  <c:v>0.10831092416356271</c:v>
                </c:pt>
                <c:pt idx="4">
                  <c:v>0.10850052739822642</c:v>
                </c:pt>
                <c:pt idx="5">
                  <c:v>0.10869645589588525</c:v>
                </c:pt>
                <c:pt idx="6">
                  <c:v>0.10888761588143157</c:v>
                </c:pt>
                <c:pt idx="7">
                  <c:v>0.1090771323066855</c:v>
                </c:pt>
                <c:pt idx="8">
                  <c:v>0.10926004912754105</c:v>
                </c:pt>
                <c:pt idx="9">
                  <c:v>0.10944027285110186</c:v>
                </c:pt>
                <c:pt idx="10">
                  <c:v>0.10961444345469096</c:v>
                </c:pt>
                <c:pt idx="11">
                  <c:v>0.11041202433050117</c:v>
                </c:pt>
                <c:pt idx="12">
                  <c:v>0.10970227988141405</c:v>
                </c:pt>
                <c:pt idx="13">
                  <c:v>0.10853950249434183</c:v>
                </c:pt>
                <c:pt idx="14">
                  <c:v>0.10934201537199612</c:v>
                </c:pt>
                <c:pt idx="15">
                  <c:v>0.11218624884701478</c:v>
                </c:pt>
                <c:pt idx="16">
                  <c:v>0.11246835069054339</c:v>
                </c:pt>
                <c:pt idx="17">
                  <c:v>0.1115216782393237</c:v>
                </c:pt>
                <c:pt idx="18">
                  <c:v>0.10999807452313271</c:v>
                </c:pt>
                <c:pt idx="19">
                  <c:v>0.10794510275806733</c:v>
                </c:pt>
                <c:pt idx="20">
                  <c:v>0.11148286152446531</c:v>
                </c:pt>
                <c:pt idx="21">
                  <c:v>0.11552489514200971</c:v>
                </c:pt>
                <c:pt idx="22">
                  <c:v>0.11565812716692946</c:v>
                </c:pt>
                <c:pt idx="23">
                  <c:v>0.11527611012296753</c:v>
                </c:pt>
                <c:pt idx="24">
                  <c:v>0.11690807560871951</c:v>
                </c:pt>
                <c:pt idx="25">
                  <c:v>0.11834181663669302</c:v>
                </c:pt>
                <c:pt idx="26">
                  <c:v>0.11811683206520587</c:v>
                </c:pt>
                <c:pt idx="27">
                  <c:v>0.12136967006967819</c:v>
                </c:pt>
                <c:pt idx="28">
                  <c:v>0.12304241013893071</c:v>
                </c:pt>
                <c:pt idx="29">
                  <c:v>0.12652406238669353</c:v>
                </c:pt>
                <c:pt idx="30">
                  <c:v>0.12358414081211422</c:v>
                </c:pt>
                <c:pt idx="31">
                  <c:v>0.1236674891595162</c:v>
                </c:pt>
                <c:pt idx="32">
                  <c:v>0.12218185574877749</c:v>
                </c:pt>
                <c:pt idx="33">
                  <c:v>0.12089685317682072</c:v>
                </c:pt>
                <c:pt idx="34">
                  <c:v>0.12322597434067804</c:v>
                </c:pt>
                <c:pt idx="35">
                  <c:v>0.12603458485411642</c:v>
                </c:pt>
                <c:pt idx="36">
                  <c:v>0.12435891909597477</c:v>
                </c:pt>
                <c:pt idx="37">
                  <c:v>0.12495373883034888</c:v>
                </c:pt>
                <c:pt idx="38">
                  <c:v>0.12717596291699007</c:v>
                </c:pt>
                <c:pt idx="39">
                  <c:v>0.12727239947989888</c:v>
                </c:pt>
                <c:pt idx="40">
                  <c:v>0.12732423591037914</c:v>
                </c:pt>
                <c:pt idx="41">
                  <c:v>0.12875110742475271</c:v>
                </c:pt>
                <c:pt idx="42">
                  <c:v>0.12903729760057492</c:v>
                </c:pt>
                <c:pt idx="43">
                  <c:v>0.13026676874330645</c:v>
                </c:pt>
                <c:pt idx="44">
                  <c:v>0.13062120493302992</c:v>
                </c:pt>
                <c:pt idx="45">
                  <c:v>0.12995131627698689</c:v>
                </c:pt>
                <c:pt idx="46">
                  <c:v>0.13144386786249959</c:v>
                </c:pt>
                <c:pt idx="47">
                  <c:v>0.13107696213238482</c:v>
                </c:pt>
                <c:pt idx="48">
                  <c:v>0.13305996142723395</c:v>
                </c:pt>
                <c:pt idx="49">
                  <c:v>0.13582502453787784</c:v>
                </c:pt>
                <c:pt idx="50">
                  <c:v>0.13769553339106447</c:v>
                </c:pt>
                <c:pt idx="51">
                  <c:v>0.13977199824845485</c:v>
                </c:pt>
                <c:pt idx="52">
                  <c:v>0.14063618107686493</c:v>
                </c:pt>
                <c:pt idx="53">
                  <c:v>0.14293162649929322</c:v>
                </c:pt>
                <c:pt idx="54">
                  <c:v>0.14555683461421171</c:v>
                </c:pt>
                <c:pt idx="55">
                  <c:v>0.14669477031299358</c:v>
                </c:pt>
                <c:pt idx="56">
                  <c:v>0.14764864897165914</c:v>
                </c:pt>
                <c:pt idx="57">
                  <c:v>0.1499745753417516</c:v>
                </c:pt>
                <c:pt idx="58">
                  <c:v>0.15337770756692493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B4-40EB-A9CE-9FAF7EA5A1D9}"/>
            </c:ext>
          </c:extLst>
        </c:ser>
        <c:ser>
          <c:idx val="2"/>
          <c:order val="2"/>
          <c:tx>
            <c:v>diesel-cars/vans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LDVs'!$D$29:$BJ$29</c:f>
              <c:numCache>
                <c:formatCode>0.00%</c:formatCode>
                <c:ptCount val="59"/>
                <c:pt idx="0">
                  <c:v>0.1391538743530577</c:v>
                </c:pt>
                <c:pt idx="1">
                  <c:v>0.13973162675931003</c:v>
                </c:pt>
                <c:pt idx="2">
                  <c:v>0.14030842335426183</c:v>
                </c:pt>
                <c:pt idx="3">
                  <c:v>0.14088449304599199</c:v>
                </c:pt>
                <c:pt idx="4">
                  <c:v>0.14146004442495241</c:v>
                </c:pt>
                <c:pt idx="5">
                  <c:v>0.14203526801326</c:v>
                </c:pt>
                <c:pt idx="6">
                  <c:v>0.14261033822060551</c:v>
                </c:pt>
                <c:pt idx="7">
                  <c:v>0.14318541505044741</c:v>
                </c:pt>
                <c:pt idx="8">
                  <c:v>0.14376064559288715</c:v>
                </c:pt>
                <c:pt idx="9">
                  <c:v>0.1443361653346811</c:v>
                </c:pt>
                <c:pt idx="10">
                  <c:v>0.1448936286610889</c:v>
                </c:pt>
                <c:pt idx="11">
                  <c:v>0.1462470147967887</c:v>
                </c:pt>
                <c:pt idx="12">
                  <c:v>0.1459453839457294</c:v>
                </c:pt>
                <c:pt idx="13">
                  <c:v>0.14463621490638207</c:v>
                </c:pt>
                <c:pt idx="14">
                  <c:v>0.14511806198391328</c:v>
                </c:pt>
                <c:pt idx="15">
                  <c:v>0.14910785693818476</c:v>
                </c:pt>
                <c:pt idx="16">
                  <c:v>0.15001099856675248</c:v>
                </c:pt>
                <c:pt idx="17">
                  <c:v>0.14852231699995883</c:v>
                </c:pt>
                <c:pt idx="18">
                  <c:v>0.14749882712517989</c:v>
                </c:pt>
                <c:pt idx="19">
                  <c:v>0.14503322762323392</c:v>
                </c:pt>
                <c:pt idx="20">
                  <c:v>0.15015517699648767</c:v>
                </c:pt>
                <c:pt idx="21">
                  <c:v>0.1550678810347331</c:v>
                </c:pt>
                <c:pt idx="22">
                  <c:v>0.15475754086078986</c:v>
                </c:pt>
                <c:pt idx="23">
                  <c:v>0.15390197653132728</c:v>
                </c:pt>
                <c:pt idx="24">
                  <c:v>0.15491382497868758</c:v>
                </c:pt>
                <c:pt idx="25">
                  <c:v>0.15680388262822947</c:v>
                </c:pt>
                <c:pt idx="26">
                  <c:v>0.15487384824200662</c:v>
                </c:pt>
                <c:pt idx="27">
                  <c:v>0.16183084407033771</c:v>
                </c:pt>
                <c:pt idx="28">
                  <c:v>0.16259884772578345</c:v>
                </c:pt>
                <c:pt idx="29">
                  <c:v>0.15589092703470675</c:v>
                </c:pt>
                <c:pt idx="30">
                  <c:v>0.16024514087113173</c:v>
                </c:pt>
                <c:pt idx="31">
                  <c:v>0.16017939514888296</c:v>
                </c:pt>
                <c:pt idx="32">
                  <c:v>0.15865472921990489</c:v>
                </c:pt>
                <c:pt idx="33">
                  <c:v>0.15841859628127289</c:v>
                </c:pt>
                <c:pt idx="34">
                  <c:v>0.1611450425314504</c:v>
                </c:pt>
                <c:pt idx="35">
                  <c:v>0.16502855163524408</c:v>
                </c:pt>
                <c:pt idx="36">
                  <c:v>0.16287982764153358</c:v>
                </c:pt>
                <c:pt idx="37">
                  <c:v>0.16312203417740115</c:v>
                </c:pt>
                <c:pt idx="38">
                  <c:v>0.16554159960153814</c:v>
                </c:pt>
                <c:pt idx="39">
                  <c:v>0.16616186525706289</c:v>
                </c:pt>
                <c:pt idx="40">
                  <c:v>0.16612350206811932</c:v>
                </c:pt>
                <c:pt idx="41">
                  <c:v>0.16825934341168441</c:v>
                </c:pt>
                <c:pt idx="42">
                  <c:v>0.16923035226469252</c:v>
                </c:pt>
                <c:pt idx="43">
                  <c:v>0.17098052106040262</c:v>
                </c:pt>
                <c:pt idx="44">
                  <c:v>0.17211155763833247</c:v>
                </c:pt>
                <c:pt idx="45">
                  <c:v>0.1715735628379968</c:v>
                </c:pt>
                <c:pt idx="46">
                  <c:v>0.17383899321376822</c:v>
                </c:pt>
                <c:pt idx="47">
                  <c:v>0.17395417595710999</c:v>
                </c:pt>
                <c:pt idx="48">
                  <c:v>0.17812566514196362</c:v>
                </c:pt>
                <c:pt idx="49">
                  <c:v>0.18034858180955229</c:v>
                </c:pt>
                <c:pt idx="50">
                  <c:v>0.1815564989755302</c:v>
                </c:pt>
                <c:pt idx="51">
                  <c:v>0.18382754562673775</c:v>
                </c:pt>
                <c:pt idx="52">
                  <c:v>0.18437780464306969</c:v>
                </c:pt>
                <c:pt idx="53">
                  <c:v>0.1871254788362802</c:v>
                </c:pt>
                <c:pt idx="54">
                  <c:v>0.1898282340017716</c:v>
                </c:pt>
                <c:pt idx="55">
                  <c:v>0.19037757905422648</c:v>
                </c:pt>
                <c:pt idx="56">
                  <c:v>0.190458291754178</c:v>
                </c:pt>
                <c:pt idx="57">
                  <c:v>0.19318380213649683</c:v>
                </c:pt>
                <c:pt idx="58">
                  <c:v>0.19699143218185244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B4-40EB-A9CE-9FAF7EA5A1D9}"/>
            </c:ext>
          </c:extLst>
        </c:ser>
        <c:ser>
          <c:idx val="3"/>
          <c:order val="3"/>
          <c:tx>
            <c:v>diesel-bus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LDVs'!$D$30:$BJ$30</c:f>
              <c:numCache>
                <c:formatCode>0.00%</c:formatCode>
                <c:ptCount val="59"/>
                <c:pt idx="0">
                  <c:v>0.20625414176561679</c:v>
                </c:pt>
                <c:pt idx="1">
                  <c:v>0.21436333807075292</c:v>
                </c:pt>
                <c:pt idx="2">
                  <c:v>0.22265760476580621</c:v>
                </c:pt>
                <c:pt idx="3">
                  <c:v>0.23112834998814555</c:v>
                </c:pt>
                <c:pt idx="4">
                  <c:v>0.23976557311547667</c:v>
                </c:pt>
                <c:pt idx="5">
                  <c:v>0.24855780614777431</c:v>
                </c:pt>
                <c:pt idx="6">
                  <c:v>0.25749206429415672</c:v>
                </c:pt>
                <c:pt idx="7">
                  <c:v>0.26655380787385718</c:v>
                </c:pt>
                <c:pt idx="8">
                  <c:v>0.27572691778243696</c:v>
                </c:pt>
                <c:pt idx="9">
                  <c:v>0.28499368688821025</c:v>
                </c:pt>
                <c:pt idx="10">
                  <c:v>0.29433482979953851</c:v>
                </c:pt>
                <c:pt idx="11">
                  <c:v>0.2929618639744247</c:v>
                </c:pt>
                <c:pt idx="12">
                  <c:v>0.29399782123437979</c:v>
                </c:pt>
                <c:pt idx="13">
                  <c:v>0.28847343344699417</c:v>
                </c:pt>
                <c:pt idx="14">
                  <c:v>0.28535323694952197</c:v>
                </c:pt>
                <c:pt idx="15">
                  <c:v>0.28472923223878832</c:v>
                </c:pt>
                <c:pt idx="16">
                  <c:v>0.28519871257822771</c:v>
                </c:pt>
                <c:pt idx="17">
                  <c:v>0.27862412842979223</c:v>
                </c:pt>
                <c:pt idx="18">
                  <c:v>0.27891105174861192</c:v>
                </c:pt>
                <c:pt idx="19">
                  <c:v>0.2741058469489156</c:v>
                </c:pt>
                <c:pt idx="20">
                  <c:v>0.28347706586165239</c:v>
                </c:pt>
                <c:pt idx="21">
                  <c:v>0.28796787506449228</c:v>
                </c:pt>
                <c:pt idx="22">
                  <c:v>0.27876133977850903</c:v>
                </c:pt>
                <c:pt idx="23">
                  <c:v>0.26977833979057264</c:v>
                </c:pt>
                <c:pt idx="24">
                  <c:v>0.26088989488500541</c:v>
                </c:pt>
                <c:pt idx="25">
                  <c:v>0.24982665768570456</c:v>
                </c:pt>
                <c:pt idx="26">
                  <c:v>0.23573119177965376</c:v>
                </c:pt>
                <c:pt idx="27">
                  <c:v>0.24315513369166714</c:v>
                </c:pt>
                <c:pt idx="28">
                  <c:v>0.23896796721736419</c:v>
                </c:pt>
                <c:pt idx="29">
                  <c:v>0.25047751090638337</c:v>
                </c:pt>
                <c:pt idx="30">
                  <c:v>0.24848018656349347</c:v>
                </c:pt>
                <c:pt idx="31">
                  <c:v>0.25386590209564397</c:v>
                </c:pt>
                <c:pt idx="32">
                  <c:v>0.24996785870949256</c:v>
                </c:pt>
                <c:pt idx="33">
                  <c:v>0.25096290869438342</c:v>
                </c:pt>
                <c:pt idx="34">
                  <c:v>0.24893042116408015</c:v>
                </c:pt>
                <c:pt idx="35">
                  <c:v>0.25608908340428782</c:v>
                </c:pt>
                <c:pt idx="36">
                  <c:v>0.25645255325714544</c:v>
                </c:pt>
                <c:pt idx="37">
                  <c:v>0.26021189050349336</c:v>
                </c:pt>
                <c:pt idx="38">
                  <c:v>0.26730193279572673</c:v>
                </c:pt>
                <c:pt idx="39">
                  <c:v>0.27354555695030236</c:v>
                </c:pt>
                <c:pt idx="40">
                  <c:v>0.27632465750858737</c:v>
                </c:pt>
                <c:pt idx="41">
                  <c:v>0.27548762510229341</c:v>
                </c:pt>
                <c:pt idx="42">
                  <c:v>0.27308945967800968</c:v>
                </c:pt>
                <c:pt idx="43">
                  <c:v>0.27216593178016302</c:v>
                </c:pt>
                <c:pt idx="44">
                  <c:v>0.27390861541949796</c:v>
                </c:pt>
                <c:pt idx="45">
                  <c:v>0.26985527162359191</c:v>
                </c:pt>
                <c:pt idx="46">
                  <c:v>0.26957372208913732</c:v>
                </c:pt>
                <c:pt idx="47">
                  <c:v>0.26994527516187083</c:v>
                </c:pt>
                <c:pt idx="48">
                  <c:v>0.27901230419627332</c:v>
                </c:pt>
                <c:pt idx="49">
                  <c:v>0.27820437956297184</c:v>
                </c:pt>
                <c:pt idx="50">
                  <c:v>0.27416375809213733</c:v>
                </c:pt>
                <c:pt idx="51">
                  <c:v>0.27440055916354439</c:v>
                </c:pt>
                <c:pt idx="52">
                  <c:v>0.26957463971845869</c:v>
                </c:pt>
                <c:pt idx="53">
                  <c:v>0.27119057530584112</c:v>
                </c:pt>
                <c:pt idx="54">
                  <c:v>0.27087490146620585</c:v>
                </c:pt>
                <c:pt idx="55">
                  <c:v>0.26812865245445505</c:v>
                </c:pt>
                <c:pt idx="56">
                  <c:v>0.2641526910271273</c:v>
                </c:pt>
                <c:pt idx="57">
                  <c:v>0.26421231574353765</c:v>
                </c:pt>
                <c:pt idx="58">
                  <c:v>0.26573713644085517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CB4-40EB-A9CE-9FAF7EA5A1D9}"/>
            </c:ext>
          </c:extLst>
        </c:ser>
        <c:ser>
          <c:idx val="4"/>
          <c:order val="4"/>
          <c:tx>
            <c:v>diesel-truck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'1_UK stats LDVs'!$D$24:$BJ$24</c:f>
              <c:numCache>
                <c:formatCode>General</c:formatCode>
                <c:ptCount val="59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</c:numCache>
            </c:numRef>
          </c:cat>
          <c:val>
            <c:numRef>
              <c:f>'1_UK stats LDVs'!$D$31:$BJ$31</c:f>
              <c:numCache>
                <c:formatCode>0.00%</c:formatCode>
                <c:ptCount val="59"/>
                <c:pt idx="0">
                  <c:v>0.24670520672063156</c:v>
                </c:pt>
                <c:pt idx="1">
                  <c:v>0.25378173125406267</c:v>
                </c:pt>
                <c:pt idx="2">
                  <c:v>0.26094296180156229</c:v>
                </c:pt>
                <c:pt idx="3">
                  <c:v>0.26818118494751719</c:v>
                </c:pt>
                <c:pt idx="4">
                  <c:v>0.27548805110977587</c:v>
                </c:pt>
                <c:pt idx="5">
                  <c:v>0.28285457329759567</c:v>
                </c:pt>
                <c:pt idx="6">
                  <c:v>0.29027113064882692</c:v>
                </c:pt>
                <c:pt idx="7">
                  <c:v>0.29772747724651272</c:v>
                </c:pt>
                <c:pt idx="8">
                  <c:v>0.30521275671000259</c:v>
                </c:pt>
                <c:pt idx="9">
                  <c:v>0.312715523041323</c:v>
                </c:pt>
                <c:pt idx="10">
                  <c:v>0.32022376818259313</c:v>
                </c:pt>
                <c:pt idx="11">
                  <c:v>0.31981301365543657</c:v>
                </c:pt>
                <c:pt idx="12">
                  <c:v>0.32147290925084809</c:v>
                </c:pt>
                <c:pt idx="13">
                  <c:v>0.31580467496711884</c:v>
                </c:pt>
                <c:pt idx="14">
                  <c:v>0.32246609877975785</c:v>
                </c:pt>
                <c:pt idx="15">
                  <c:v>0.31825323799574329</c:v>
                </c:pt>
                <c:pt idx="16">
                  <c:v>0.32435217508562098</c:v>
                </c:pt>
                <c:pt idx="17">
                  <c:v>0.31547016797764443</c:v>
                </c:pt>
                <c:pt idx="18">
                  <c:v>0.32218552526271005</c:v>
                </c:pt>
                <c:pt idx="19">
                  <c:v>0.31811523623691706</c:v>
                </c:pt>
                <c:pt idx="20">
                  <c:v>0.3213288102250953</c:v>
                </c:pt>
                <c:pt idx="21">
                  <c:v>0.32685351423616715</c:v>
                </c:pt>
                <c:pt idx="22">
                  <c:v>0.31753780619697469</c:v>
                </c:pt>
                <c:pt idx="23">
                  <c:v>0.30707942521262999</c:v>
                </c:pt>
                <c:pt idx="24">
                  <c:v>0.29969215289178242</c:v>
                </c:pt>
                <c:pt idx="25">
                  <c:v>0.29373834967208468</c:v>
                </c:pt>
                <c:pt idx="26">
                  <c:v>0.27880728171479885</c:v>
                </c:pt>
                <c:pt idx="27">
                  <c:v>0.28214563606909909</c:v>
                </c:pt>
                <c:pt idx="28">
                  <c:v>0.28277877793300465</c:v>
                </c:pt>
                <c:pt idx="29">
                  <c:v>0.27273626654277394</c:v>
                </c:pt>
                <c:pt idx="30">
                  <c:v>0.27592387113514028</c:v>
                </c:pt>
                <c:pt idx="31">
                  <c:v>0.2774965062536805</c:v>
                </c:pt>
                <c:pt idx="32">
                  <c:v>0.27367195023486957</c:v>
                </c:pt>
                <c:pt idx="33">
                  <c:v>0.27400462083169652</c:v>
                </c:pt>
                <c:pt idx="34">
                  <c:v>0.2716441430239529</c:v>
                </c:pt>
                <c:pt idx="35">
                  <c:v>0.27516617025700901</c:v>
                </c:pt>
                <c:pt idx="36">
                  <c:v>0.27881728414217677</c:v>
                </c:pt>
                <c:pt idx="37">
                  <c:v>0.28446429813055563</c:v>
                </c:pt>
                <c:pt idx="38">
                  <c:v>0.29486015000054244</c:v>
                </c:pt>
                <c:pt idx="39">
                  <c:v>0.3006503008099547</c:v>
                </c:pt>
                <c:pt idx="40">
                  <c:v>0.30663847100017971</c:v>
                </c:pt>
                <c:pt idx="41">
                  <c:v>0.31110730916121437</c:v>
                </c:pt>
                <c:pt idx="42">
                  <c:v>0.31168966639384199</c:v>
                </c:pt>
                <c:pt idx="43">
                  <c:v>0.3125541869499876</c:v>
                </c:pt>
                <c:pt idx="44">
                  <c:v>0.31517484864195566</c:v>
                </c:pt>
                <c:pt idx="45">
                  <c:v>0.31574386058042436</c:v>
                </c:pt>
                <c:pt idx="46">
                  <c:v>0.31889139100080677</c:v>
                </c:pt>
                <c:pt idx="47">
                  <c:v>0.32121776403190205</c:v>
                </c:pt>
                <c:pt idx="48">
                  <c:v>0.32649563966007622</c:v>
                </c:pt>
                <c:pt idx="49">
                  <c:v>0.32709658782956652</c:v>
                </c:pt>
                <c:pt idx="50">
                  <c:v>0.32880126944523108</c:v>
                </c:pt>
                <c:pt idx="51">
                  <c:v>0.33227890152997136</c:v>
                </c:pt>
                <c:pt idx="52">
                  <c:v>0.32784856340877605</c:v>
                </c:pt>
                <c:pt idx="53">
                  <c:v>0.33188077472100103</c:v>
                </c:pt>
                <c:pt idx="54">
                  <c:v>0.33278450495917666</c:v>
                </c:pt>
                <c:pt idx="55">
                  <c:v>0.3325954996837448</c:v>
                </c:pt>
                <c:pt idx="56">
                  <c:v>0.32860930519567033</c:v>
                </c:pt>
                <c:pt idx="57">
                  <c:v>0.33742988730632784</c:v>
                </c:pt>
                <c:pt idx="58">
                  <c:v>0.34098705785836592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CB4-40EB-A9CE-9FAF7EA5A1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8451552"/>
        <c:axId val="428453848"/>
      </c:lineChart>
      <c:catAx>
        <c:axId val="428451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8453848"/>
        <c:crosses val="autoZero"/>
        <c:auto val="1"/>
        <c:lblAlgn val="ctr"/>
        <c:lblOffset val="100"/>
        <c:noMultiLvlLbl val="0"/>
      </c:catAx>
      <c:valAx>
        <c:axId val="428453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8451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'1_GFEI_IEA 2019'!$A$34</c:f>
              <c:strCache>
                <c:ptCount val="1"/>
                <c:pt idx="0">
                  <c:v>Italy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2019'!$B$34:$E$34</c:f>
              <c:numCache>
                <c:formatCode>0.00</c:formatCode>
                <c:ptCount val="4"/>
                <c:pt idx="0">
                  <c:v>0.54757630161579884</c:v>
                </c:pt>
                <c:pt idx="1">
                  <c:v>0.6838156484458735</c:v>
                </c:pt>
                <c:pt idx="2">
                  <c:v>0.60438292964244522</c:v>
                </c:pt>
                <c:pt idx="3">
                  <c:v>0.59976662777129519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B94-4D8C-9CCC-254DA978A4A9}"/>
            </c:ext>
          </c:extLst>
        </c:ser>
        <c:ser>
          <c:idx val="1"/>
          <c:order val="1"/>
          <c:tx>
            <c:strRef>
              <c:f>'1_GFEI_IEA 2019'!$A$35</c:f>
              <c:strCache>
                <c:ptCount val="1"/>
                <c:pt idx="0">
                  <c:v>France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2019'!$B$35:$E$35</c:f>
              <c:numCache>
                <c:formatCode>0.00</c:formatCode>
                <c:ptCount val="4"/>
                <c:pt idx="0">
                  <c:v>0.58168761220825849</c:v>
                </c:pt>
                <c:pt idx="1">
                  <c:v>0.64308681672025725</c:v>
                </c:pt>
                <c:pt idx="2">
                  <c:v>0.58246828143021911</c:v>
                </c:pt>
                <c:pt idx="3">
                  <c:v>0.61143523920653442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B94-4D8C-9CCC-254DA978A4A9}"/>
            </c:ext>
          </c:extLst>
        </c:ser>
        <c:ser>
          <c:idx val="2"/>
          <c:order val="2"/>
          <c:tx>
            <c:strRef>
              <c:f>'1_GFEI_IEA 2019'!$A$36</c:f>
              <c:strCache>
                <c:ptCount val="1"/>
                <c:pt idx="0">
                  <c:v>Turkey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2019'!$B$36:$E$36</c:f>
              <c:numCache>
                <c:formatCode>0.00</c:formatCode>
                <c:ptCount val="4"/>
                <c:pt idx="0">
                  <c:v>0.73518850987432671</c:v>
                </c:pt>
                <c:pt idx="1">
                  <c:v>0.70418006430868174</c:v>
                </c:pt>
                <c:pt idx="2">
                  <c:v>0.61476355247981551</c:v>
                </c:pt>
                <c:pt idx="3">
                  <c:v>0.62193698949824971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B94-4D8C-9CCC-254DA978A4A9}"/>
            </c:ext>
          </c:extLst>
        </c:ser>
        <c:ser>
          <c:idx val="3"/>
          <c:order val="3"/>
          <c:tx>
            <c:strRef>
              <c:f>'1_GFEI_IEA 2019'!$A$37</c:f>
              <c:strCache>
                <c:ptCount val="1"/>
                <c:pt idx="0">
                  <c:v>India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2019'!$B$37:$E$37</c:f>
              <c:numCache>
                <c:formatCode>0.00</c:formatCode>
                <c:ptCount val="4"/>
                <c:pt idx="0">
                  <c:v>0.61579892280071813</c:v>
                </c:pt>
                <c:pt idx="1">
                  <c:v>0.6838156484458735</c:v>
                </c:pt>
                <c:pt idx="2">
                  <c:v>0.64821222606689732</c:v>
                </c:pt>
                <c:pt idx="3">
                  <c:v>0.65577596266044336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B94-4D8C-9CCC-254DA978A4A9}"/>
            </c:ext>
          </c:extLst>
        </c:ser>
        <c:ser>
          <c:idx val="4"/>
          <c:order val="4"/>
          <c:tx>
            <c:strRef>
              <c:f>'1_GFEI_IEA 2019'!$A$38</c:f>
              <c:strCache>
                <c:ptCount val="1"/>
                <c:pt idx="0">
                  <c:v>United Kingdom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2019'!$B$38:$E$38</c:f>
              <c:numCache>
                <c:formatCode>0.00</c:formatCode>
                <c:ptCount val="4"/>
                <c:pt idx="0">
                  <c:v>0.67504488330341106</c:v>
                </c:pt>
                <c:pt idx="1">
                  <c:v>0.69453376205787787</c:v>
                </c:pt>
                <c:pt idx="2">
                  <c:v>0.64821222606689732</c:v>
                </c:pt>
                <c:pt idx="3">
                  <c:v>0.65577596266044336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B94-4D8C-9CCC-254DA978A4A9}"/>
            </c:ext>
          </c:extLst>
        </c:ser>
        <c:ser>
          <c:idx val="5"/>
          <c:order val="5"/>
          <c:tx>
            <c:strRef>
              <c:f>'1_GFEI_IEA 2019'!$A$39</c:f>
              <c:strCache>
                <c:ptCount val="1"/>
                <c:pt idx="0">
                  <c:v>Germany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2019'!$B$39:$E$39</c:f>
              <c:numCache>
                <c:formatCode>0.00</c:formatCode>
                <c:ptCount val="4"/>
                <c:pt idx="0">
                  <c:v>0.67504488330341106</c:v>
                </c:pt>
                <c:pt idx="1">
                  <c:v>0.73526259378349412</c:v>
                </c:pt>
                <c:pt idx="2">
                  <c:v>0.67012687427912332</c:v>
                </c:pt>
                <c:pt idx="3">
                  <c:v>0.68844807467911318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B94-4D8C-9CCC-254DA978A4A9}"/>
            </c:ext>
          </c:extLst>
        </c:ser>
        <c:ser>
          <c:idx val="6"/>
          <c:order val="6"/>
          <c:tx>
            <c:strRef>
              <c:f>'1_GFEI_IEA 2019'!$A$40</c:f>
              <c:strCache>
                <c:ptCount val="1"/>
                <c:pt idx="0">
                  <c:v>Japan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2019'!$B$40:$E$40</c:f>
              <c:numCache>
                <c:formatCode>0.00</c:formatCode>
                <c:ptCount val="4"/>
                <c:pt idx="0">
                  <c:v>0.70107719928186707</c:v>
                </c:pt>
                <c:pt idx="1">
                  <c:v>0.75562700964630225</c:v>
                </c:pt>
                <c:pt idx="2">
                  <c:v>0.70357554786620524</c:v>
                </c:pt>
                <c:pt idx="3">
                  <c:v>0.72228704784130693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B94-4D8C-9CCC-254DA978A4A9}"/>
            </c:ext>
          </c:extLst>
        </c:ser>
        <c:ser>
          <c:idx val="7"/>
          <c:order val="7"/>
          <c:tx>
            <c:strRef>
              <c:f>'1_GFEI_IEA 2019'!$A$41</c:f>
              <c:strCache>
                <c:ptCount val="1"/>
                <c:pt idx="0">
                  <c:v>Korea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2019'!$B$41:$E$41</c:f>
              <c:numCache>
                <c:formatCode>0.00</c:formatCode>
                <c:ptCount val="4"/>
                <c:pt idx="0">
                  <c:v>0.72710951526032308</c:v>
                </c:pt>
                <c:pt idx="1">
                  <c:v>0.76527331189710612</c:v>
                </c:pt>
                <c:pt idx="2">
                  <c:v>0.72549019607843135</c:v>
                </c:pt>
                <c:pt idx="3">
                  <c:v>0.73395565927654605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B94-4D8C-9CCC-254DA978A4A9}"/>
            </c:ext>
          </c:extLst>
        </c:ser>
        <c:ser>
          <c:idx val="8"/>
          <c:order val="8"/>
          <c:tx>
            <c:strRef>
              <c:f>'1_GFEI_IEA 2019'!$A$42</c:f>
              <c:strCache>
                <c:ptCount val="1"/>
                <c:pt idx="0">
                  <c:v>Ukraine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2019'!$B$42:$E$42</c:f>
              <c:numCache>
                <c:formatCode>0.00</c:formatCode>
                <c:ptCount val="4"/>
                <c:pt idx="0">
                  <c:v>0.78635547576301612</c:v>
                </c:pt>
                <c:pt idx="1">
                  <c:v>0.86816720257234725</c:v>
                </c:pt>
                <c:pt idx="2">
                  <c:v>0.80161476355247985</c:v>
                </c:pt>
                <c:pt idx="3">
                  <c:v>0.80046674445740962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8B94-4D8C-9CCC-254DA978A4A9}"/>
            </c:ext>
          </c:extLst>
        </c:ser>
        <c:ser>
          <c:idx val="9"/>
          <c:order val="9"/>
          <c:tx>
            <c:strRef>
              <c:f>'1_GFEI_IEA 2019'!$A$43</c:f>
              <c:strCache>
                <c:ptCount val="1"/>
                <c:pt idx="0">
                  <c:v>Malaysia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2019'!$B$43:$E$43</c:f>
              <c:numCache>
                <c:formatCode>0.00</c:formatCode>
                <c:ptCount val="4"/>
                <c:pt idx="0">
                  <c:v>0.73518850987432671</c:v>
                </c:pt>
                <c:pt idx="1">
                  <c:v>0.83708467309753476</c:v>
                </c:pt>
                <c:pt idx="2">
                  <c:v>0.86735870818915795</c:v>
                </c:pt>
                <c:pt idx="3">
                  <c:v>0.83313885647607933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8B94-4D8C-9CCC-254DA978A4A9}"/>
            </c:ext>
          </c:extLst>
        </c:ser>
        <c:ser>
          <c:idx val="10"/>
          <c:order val="10"/>
          <c:tx>
            <c:strRef>
              <c:f>'1_GFEI_IEA 2019'!$A$44</c:f>
              <c:strCache>
                <c:ptCount val="1"/>
                <c:pt idx="0">
                  <c:v>South Africa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2019'!$B$44:$E$44</c:f>
              <c:numCache>
                <c:formatCode>0.00</c:formatCode>
                <c:ptCount val="4"/>
                <c:pt idx="0">
                  <c:v>0.79533213644524225</c:v>
                </c:pt>
                <c:pt idx="1">
                  <c:v>0.89817792068595936</c:v>
                </c:pt>
                <c:pt idx="2">
                  <c:v>0.86735870818915795</c:v>
                </c:pt>
                <c:pt idx="3">
                  <c:v>0.85530921820303385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8B94-4D8C-9CCC-254DA978A4A9}"/>
            </c:ext>
          </c:extLst>
        </c:ser>
        <c:ser>
          <c:idx val="11"/>
          <c:order val="11"/>
          <c:tx>
            <c:strRef>
              <c:f>'1_GFEI_IEA 2019'!$A$45</c:f>
              <c:strCache>
                <c:ptCount val="1"/>
                <c:pt idx="0">
                  <c:v>Thailand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2019'!$B$45:$E$45</c:f>
              <c:numCache>
                <c:formatCode>0.00</c:formatCode>
                <c:ptCount val="4"/>
                <c:pt idx="0">
                  <c:v>0.83752244165170553</c:v>
                </c:pt>
                <c:pt idx="1">
                  <c:v>0.90889603429796362</c:v>
                </c:pt>
                <c:pt idx="2">
                  <c:v>0.91118800461361016</c:v>
                </c:pt>
                <c:pt idx="3">
                  <c:v>0.87747957992998826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8B94-4D8C-9CCC-254DA978A4A9}"/>
            </c:ext>
          </c:extLst>
        </c:ser>
        <c:ser>
          <c:idx val="12"/>
          <c:order val="12"/>
          <c:tx>
            <c:strRef>
              <c:f>'1_GFEI_IEA 2019'!$A$46</c:f>
              <c:strCache>
                <c:ptCount val="1"/>
                <c:pt idx="0">
                  <c:v>Brazil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2019'!$B$46:$E$46</c:f>
              <c:numCache>
                <c:formatCode>0.00</c:formatCode>
                <c:ptCount val="4"/>
                <c:pt idx="0">
                  <c:v>0.75224416517055659</c:v>
                </c:pt>
                <c:pt idx="1">
                  <c:v>0.92926045016077174</c:v>
                </c:pt>
                <c:pt idx="2">
                  <c:v>0.88927335640138405</c:v>
                </c:pt>
                <c:pt idx="3">
                  <c:v>0.87747957992998826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8B94-4D8C-9CCC-254DA978A4A9}"/>
            </c:ext>
          </c:extLst>
        </c:ser>
        <c:ser>
          <c:idx val="13"/>
          <c:order val="13"/>
          <c:tx>
            <c:strRef>
              <c:f>'1_GFEI_IEA 2019'!$A$47</c:f>
              <c:strCache>
                <c:ptCount val="1"/>
                <c:pt idx="0">
                  <c:v>China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2019'!$B$47:$E$47</c:f>
              <c:numCache>
                <c:formatCode>0.00</c:formatCode>
                <c:ptCount val="4"/>
                <c:pt idx="0">
                  <c:v>0.77827648114901249</c:v>
                </c:pt>
                <c:pt idx="1">
                  <c:v>0.91854233654876749</c:v>
                </c:pt>
                <c:pt idx="2">
                  <c:v>0.91118800461361016</c:v>
                </c:pt>
                <c:pt idx="3">
                  <c:v>0.87747957992998826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8B94-4D8C-9CCC-254DA978A4A9}"/>
            </c:ext>
          </c:extLst>
        </c:ser>
        <c:ser>
          <c:idx val="14"/>
          <c:order val="14"/>
          <c:tx>
            <c:strRef>
              <c:f>'1_GFEI_IEA 2019'!$A$48</c:f>
              <c:strCache>
                <c:ptCount val="1"/>
                <c:pt idx="0">
                  <c:v>Mexico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2019'!$B$48:$E$48</c:f>
              <c:numCache>
                <c:formatCode>0.00</c:formatCode>
                <c:ptCount val="4"/>
                <c:pt idx="0">
                  <c:v>0.81238779174147224</c:v>
                </c:pt>
                <c:pt idx="1">
                  <c:v>1.020364415862808</c:v>
                </c:pt>
                <c:pt idx="2">
                  <c:v>0.86735870818915795</c:v>
                </c:pt>
                <c:pt idx="3">
                  <c:v>0.87747957992998826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8B94-4D8C-9CCC-254DA978A4A9}"/>
            </c:ext>
          </c:extLst>
        </c:ser>
        <c:ser>
          <c:idx val="15"/>
          <c:order val="15"/>
          <c:tx>
            <c:strRef>
              <c:f>'1_GFEI_IEA 2019'!$A$49</c:f>
              <c:strCache>
                <c:ptCount val="1"/>
                <c:pt idx="0">
                  <c:v>Argentina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2019'!$B$49:$E$49</c:f>
              <c:numCache>
                <c:formatCode>0.00</c:formatCode>
                <c:ptCount val="4"/>
                <c:pt idx="0">
                  <c:v>0.74416517055655285</c:v>
                </c:pt>
                <c:pt idx="1">
                  <c:v>0.84673097534833874</c:v>
                </c:pt>
                <c:pt idx="2">
                  <c:v>0.87889273356401387</c:v>
                </c:pt>
                <c:pt idx="3">
                  <c:v>0.92182030338389731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F-8B94-4D8C-9CCC-254DA978A4A9}"/>
            </c:ext>
          </c:extLst>
        </c:ser>
        <c:ser>
          <c:idx val="16"/>
          <c:order val="16"/>
          <c:tx>
            <c:strRef>
              <c:f>'1_GFEI_IEA 2019'!$A$50</c:f>
              <c:strCache>
                <c:ptCount val="1"/>
                <c:pt idx="0">
                  <c:v>Australia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2019'!$B$50:$E$50</c:f>
              <c:numCache>
                <c:formatCode>0.00</c:formatCode>
                <c:ptCount val="4"/>
                <c:pt idx="0">
                  <c:v>0.94075403949730696</c:v>
                </c:pt>
                <c:pt idx="1">
                  <c:v>1.0107181136120043</c:v>
                </c:pt>
                <c:pt idx="2">
                  <c:v>0.92272202998846597</c:v>
                </c:pt>
                <c:pt idx="3">
                  <c:v>0.93348891481913654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8B94-4D8C-9CCC-254DA978A4A9}"/>
            </c:ext>
          </c:extLst>
        </c:ser>
        <c:ser>
          <c:idx val="17"/>
          <c:order val="17"/>
          <c:tx>
            <c:strRef>
              <c:f>'1_GFEI_IEA 2019'!$A$51</c:f>
              <c:strCache>
                <c:ptCount val="1"/>
                <c:pt idx="0">
                  <c:v>Indonesia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2019'!$B$51:$E$51</c:f>
              <c:numCache>
                <c:formatCode>0.00</c:formatCode>
                <c:ptCount val="4"/>
                <c:pt idx="0">
                  <c:v>0.76122082585278272</c:v>
                </c:pt>
                <c:pt idx="1">
                  <c:v>0.91854233654876749</c:v>
                </c:pt>
                <c:pt idx="2">
                  <c:v>0.93425605536332179</c:v>
                </c:pt>
                <c:pt idx="3">
                  <c:v>0.9113185530921819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8B94-4D8C-9CCC-254DA978A4A9}"/>
            </c:ext>
          </c:extLst>
        </c:ser>
        <c:ser>
          <c:idx val="18"/>
          <c:order val="18"/>
          <c:tx>
            <c:strRef>
              <c:f>'1_GFEI_IEA 2019'!$A$52</c:f>
              <c:strCache>
                <c:ptCount val="1"/>
                <c:pt idx="0">
                  <c:v>Chile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2019'!$B$52:$E$52</c:f>
              <c:numCache>
                <c:formatCode>0.00</c:formatCode>
                <c:ptCount val="4"/>
                <c:pt idx="0">
                  <c:v>0.76929982046678635</c:v>
                </c:pt>
                <c:pt idx="1">
                  <c:v>0.94962486602357976</c:v>
                </c:pt>
                <c:pt idx="2">
                  <c:v>0.91118800461361016</c:v>
                </c:pt>
                <c:pt idx="3">
                  <c:v>0.92182030338389731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8B94-4D8C-9CCC-254DA978A4A9}"/>
            </c:ext>
          </c:extLst>
        </c:ser>
        <c:ser>
          <c:idx val="19"/>
          <c:order val="19"/>
          <c:tx>
            <c:strRef>
              <c:f>'1_GFEI_IEA 2019'!$A$53</c:f>
              <c:strCache>
                <c:ptCount val="1"/>
                <c:pt idx="0">
                  <c:v>Peru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2019'!$B$53:$E$53</c:f>
              <c:numCache>
                <c:formatCode>0.00</c:formatCode>
                <c:ptCount val="4"/>
                <c:pt idx="2">
                  <c:v>0.94463667820069197</c:v>
                </c:pt>
                <c:pt idx="3">
                  <c:v>0.92182030338389731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8B94-4D8C-9CCC-254DA978A4A9}"/>
            </c:ext>
          </c:extLst>
        </c:ser>
        <c:ser>
          <c:idx val="20"/>
          <c:order val="20"/>
          <c:tx>
            <c:strRef>
              <c:f>'1_GFEI_IEA 2019'!$A$54</c:f>
              <c:strCache>
                <c:ptCount val="1"/>
                <c:pt idx="0">
                  <c:v>Russian Federation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2019'!$B$54:$E$54</c:f>
              <c:numCache>
                <c:formatCode>0.00</c:formatCode>
                <c:ptCount val="4"/>
                <c:pt idx="0">
                  <c:v>0.84649910233393166</c:v>
                </c:pt>
                <c:pt idx="1">
                  <c:v>0.93890675241157551</c:v>
                </c:pt>
                <c:pt idx="2">
                  <c:v>0.95617070357554779</c:v>
                </c:pt>
                <c:pt idx="3">
                  <c:v>0.96732788798133007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8B94-4D8C-9CCC-254DA978A4A9}"/>
            </c:ext>
          </c:extLst>
        </c:ser>
        <c:ser>
          <c:idx val="21"/>
          <c:order val="21"/>
          <c:tx>
            <c:strRef>
              <c:f>'1_GFEI_IEA 2019'!$A$55</c:f>
              <c:strCache>
                <c:ptCount val="1"/>
                <c:pt idx="0">
                  <c:v>Phillippines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2019'!$B$55:$E$55</c:f>
              <c:numCache>
                <c:formatCode>0.00</c:formatCode>
                <c:ptCount val="4"/>
                <c:pt idx="2">
                  <c:v>1</c:v>
                </c:pt>
                <c:pt idx="3">
                  <c:v>0.97782963827304559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8B94-4D8C-9CCC-254DA978A4A9}"/>
            </c:ext>
          </c:extLst>
        </c:ser>
        <c:ser>
          <c:idx val="22"/>
          <c:order val="22"/>
          <c:tx>
            <c:strRef>
              <c:f>'1_GFEI_IEA 2019'!$A$56</c:f>
              <c:strCache>
                <c:ptCount val="1"/>
                <c:pt idx="0">
                  <c:v>United States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2019'!$B$56:$E$56</c:f>
              <c:numCache>
                <c:formatCode>0.00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8B94-4D8C-9CCC-254DA978A4A9}"/>
            </c:ext>
          </c:extLst>
        </c:ser>
        <c:ser>
          <c:idx val="23"/>
          <c:order val="23"/>
          <c:tx>
            <c:strRef>
              <c:f>'1_GFEI_IEA 2019'!$A$57</c:f>
              <c:strCache>
                <c:ptCount val="1"/>
                <c:pt idx="0">
                  <c:v>Canada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'1_GFEI_IEA 2019'!$B$57:$E$57</c:f>
              <c:numCache>
                <c:formatCode>0.00</c:formatCode>
                <c:ptCount val="4"/>
                <c:pt idx="0">
                  <c:v>0.91472172351885095</c:v>
                </c:pt>
                <c:pt idx="1">
                  <c:v>1</c:v>
                </c:pt>
                <c:pt idx="2">
                  <c:v>1.0103806228373702</c:v>
                </c:pt>
                <c:pt idx="3">
                  <c:v>1.0338389731621935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8B94-4D8C-9CCC-254DA978A4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00785928"/>
        <c:axId val="500785272"/>
      </c:lineChart>
      <c:catAx>
        <c:axId val="50078592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785272"/>
        <c:crosses val="autoZero"/>
        <c:auto val="1"/>
        <c:lblAlgn val="ctr"/>
        <c:lblOffset val="100"/>
        <c:noMultiLvlLbl val="0"/>
      </c:catAx>
      <c:valAx>
        <c:axId val="500785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7859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Car fleet fuel economy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'1_summary econ graph'!$B$37</c:f>
              <c:strCache>
                <c:ptCount val="1"/>
                <c:pt idx="0">
                  <c:v>UK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graph'!$B$38:$B$98</c:f>
              <c:numCache>
                <c:formatCode>0.00</c:formatCode>
                <c:ptCount val="61"/>
                <c:pt idx="0">
                  <c:v>11.35789144327418</c:v>
                </c:pt>
                <c:pt idx="1">
                  <c:v>10.860243524305778</c:v>
                </c:pt>
                <c:pt idx="2">
                  <c:v>10.720909011792211</c:v>
                </c:pt>
                <c:pt idx="3">
                  <c:v>10.511777801714002</c:v>
                </c:pt>
                <c:pt idx="4">
                  <c:v>10.294485094022551</c:v>
                </c:pt>
                <c:pt idx="5">
                  <c:v>10.165676689012452</c:v>
                </c:pt>
                <c:pt idx="6">
                  <c:v>9.977070529474819</c:v>
                </c:pt>
                <c:pt idx="7">
                  <c:v>10.120319180402669</c:v>
                </c:pt>
                <c:pt idx="8">
                  <c:v>10.232833773511851</c:v>
                </c:pt>
                <c:pt idx="9">
                  <c:v>10.244997629924315</c:v>
                </c:pt>
                <c:pt idx="10">
                  <c:v>9.6975877550927496</c:v>
                </c:pt>
                <c:pt idx="11">
                  <c:v>9.6114734686379162</c:v>
                </c:pt>
                <c:pt idx="12">
                  <c:v>9.6866681156394812</c:v>
                </c:pt>
                <c:pt idx="13">
                  <c:v>9.8108325994865346</c:v>
                </c:pt>
                <c:pt idx="14">
                  <c:v>9.7218439570169313</c:v>
                </c:pt>
                <c:pt idx="15">
                  <c:v>9.4226215475656581</c:v>
                </c:pt>
                <c:pt idx="16">
                  <c:v>9.3951688626803946</c:v>
                </c:pt>
                <c:pt idx="17">
                  <c:v>9.4907164350264477</c:v>
                </c:pt>
                <c:pt idx="18">
                  <c:v>9.6516939138606883</c:v>
                </c:pt>
                <c:pt idx="19">
                  <c:v>9.8743314783822704</c:v>
                </c:pt>
                <c:pt idx="20">
                  <c:v>9.4955670327439776</c:v>
                </c:pt>
                <c:pt idx="21">
                  <c:v>9.0894789615209266</c:v>
                </c:pt>
                <c:pt idx="22">
                  <c:v>9.0752980737399458</c:v>
                </c:pt>
                <c:pt idx="23">
                  <c:v>9.1110212775715329</c:v>
                </c:pt>
                <c:pt idx="24">
                  <c:v>8.952240075034041</c:v>
                </c:pt>
                <c:pt idx="25">
                  <c:v>8.8152443479111557</c:v>
                </c:pt>
                <c:pt idx="26">
                  <c:v>8.8329676978040599</c:v>
                </c:pt>
                <c:pt idx="27">
                  <c:v>8.5290545229816956</c:v>
                </c:pt>
                <c:pt idx="28">
                  <c:v>8.3744852843089106</c:v>
                </c:pt>
                <c:pt idx="29">
                  <c:v>8.0652433580620038</c:v>
                </c:pt>
                <c:pt idx="30">
                  <c:v>8.2747722532687149</c:v>
                </c:pt>
                <c:pt idx="31">
                  <c:v>8.2532100260010317</c:v>
                </c:pt>
                <c:pt idx="32">
                  <c:v>8.3573025072312781</c:v>
                </c:pt>
                <c:pt idx="33">
                  <c:v>8.4387051585840549</c:v>
                </c:pt>
                <c:pt idx="34">
                  <c:v>8.1984618772192679</c:v>
                </c:pt>
                <c:pt idx="35">
                  <c:v>7.9418291623237414</c:v>
                </c:pt>
                <c:pt idx="36">
                  <c:v>8.0592873682270092</c:v>
                </c:pt>
                <c:pt idx="37">
                  <c:v>7.9960046281595627</c:v>
                </c:pt>
                <c:pt idx="38">
                  <c:v>7.8128160010427647</c:v>
                </c:pt>
                <c:pt idx="39">
                  <c:v>7.7947241829722751</c:v>
                </c:pt>
                <c:pt idx="40">
                  <c:v>7.7841611270764597</c:v>
                </c:pt>
                <c:pt idx="41">
                  <c:v>7.6625058983280043</c:v>
                </c:pt>
                <c:pt idx="42">
                  <c:v>7.6244657033623051</c:v>
                </c:pt>
                <c:pt idx="43">
                  <c:v>7.5132559767824318</c:v>
                </c:pt>
                <c:pt idx="44">
                  <c:v>7.4702140893331404</c:v>
                </c:pt>
                <c:pt idx="45">
                  <c:v>7.5005457705184524</c:v>
                </c:pt>
                <c:pt idx="46">
                  <c:v>7.3711374706323012</c:v>
                </c:pt>
                <c:pt idx="47">
                  <c:v>7.3832472215693556</c:v>
                </c:pt>
                <c:pt idx="48">
                  <c:v>7.2295736367062151</c:v>
                </c:pt>
                <c:pt idx="49">
                  <c:v>7.0339547994065423</c:v>
                </c:pt>
                <c:pt idx="50">
                  <c:v>6.90138760361853</c:v>
                </c:pt>
                <c:pt idx="51">
                  <c:v>6.7606330392056639</c:v>
                </c:pt>
                <c:pt idx="52">
                  <c:v>6.700519093677352</c:v>
                </c:pt>
                <c:pt idx="53">
                  <c:v>6.5563519172994962</c:v>
                </c:pt>
                <c:pt idx="54">
                  <c:v>6.3993985206557209</c:v>
                </c:pt>
                <c:pt idx="55">
                  <c:v>6.3329260292266616</c:v>
                </c:pt>
                <c:pt idx="56">
                  <c:v>6.2787038208247727</c:v>
                </c:pt>
                <c:pt idx="57">
                  <c:v>6.1493610207014449</c:v>
                </c:pt>
                <c:pt idx="58">
                  <c:v>5.966821861407765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D4-4811-B409-2C886CFC1121}"/>
            </c:ext>
          </c:extLst>
        </c:ser>
        <c:ser>
          <c:idx val="1"/>
          <c:order val="1"/>
          <c:tx>
            <c:strRef>
              <c:f>'1_summary econ graph'!$C$37</c:f>
              <c:strCache>
                <c:ptCount val="1"/>
                <c:pt idx="0">
                  <c:v>USA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graph'!$C$38:$C$98</c:f>
              <c:numCache>
                <c:formatCode>0.00</c:formatCode>
                <c:ptCount val="61"/>
                <c:pt idx="0">
                  <c:v>16.448572277719244</c:v>
                </c:pt>
                <c:pt idx="1">
                  <c:v>16.334346081346194</c:v>
                </c:pt>
                <c:pt idx="2">
                  <c:v>16.448572277719244</c:v>
                </c:pt>
                <c:pt idx="3">
                  <c:v>16.110587915848303</c:v>
                </c:pt>
                <c:pt idx="4">
                  <c:v>16.110587915848303</c:v>
                </c:pt>
                <c:pt idx="5">
                  <c:v>16.221695418716219</c:v>
                </c:pt>
                <c:pt idx="6">
                  <c:v>16.681885359672709</c:v>
                </c:pt>
                <c:pt idx="7">
                  <c:v>16.681885359672709</c:v>
                </c:pt>
                <c:pt idx="8">
                  <c:v>16.921912487150014</c:v>
                </c:pt>
                <c:pt idx="9">
                  <c:v>17.295189968484205</c:v>
                </c:pt>
                <c:pt idx="10">
                  <c:v>17.423302486769273</c:v>
                </c:pt>
                <c:pt idx="11">
                  <c:v>17.295189968484205</c:v>
                </c:pt>
                <c:pt idx="12">
                  <c:v>17.423302486769273</c:v>
                </c:pt>
                <c:pt idx="13">
                  <c:v>17.553327132192923</c:v>
                </c:pt>
                <c:pt idx="14">
                  <c:v>17.295189968484205</c:v>
                </c:pt>
                <c:pt idx="15">
                  <c:v>16.80104168367037</c:v>
                </c:pt>
                <c:pt idx="16">
                  <c:v>17.044535041404725</c:v>
                </c:pt>
                <c:pt idx="17">
                  <c:v>16.681885359672709</c:v>
                </c:pt>
                <c:pt idx="18">
                  <c:v>16.448572277719244</c:v>
                </c:pt>
                <c:pt idx="19">
                  <c:v>16.110587915848303</c:v>
                </c:pt>
                <c:pt idx="20">
                  <c:v>14.700911473211574</c:v>
                </c:pt>
                <c:pt idx="21">
                  <c:v>14.255429307356678</c:v>
                </c:pt>
                <c:pt idx="22">
                  <c:v>13.918022696531668</c:v>
                </c:pt>
                <c:pt idx="23">
                  <c:v>13.755238805344161</c:v>
                </c:pt>
                <c:pt idx="24">
                  <c:v>13.518079515596851</c:v>
                </c:pt>
                <c:pt idx="25">
                  <c:v>13.440833346936296</c:v>
                </c:pt>
                <c:pt idx="26">
                  <c:v>13.518079515596851</c:v>
                </c:pt>
                <c:pt idx="27">
                  <c:v>13.067476865076955</c:v>
                </c:pt>
                <c:pt idx="28">
                  <c:v>12.511414019754531</c:v>
                </c:pt>
                <c:pt idx="29">
                  <c:v>12.379714924809747</c:v>
                </c:pt>
                <c:pt idx="30">
                  <c:v>11.644286315415108</c:v>
                </c:pt>
                <c:pt idx="31">
                  <c:v>11.147610595800245</c:v>
                </c:pt>
                <c:pt idx="32">
                  <c:v>11.200694455780248</c:v>
                </c:pt>
                <c:pt idx="33">
                  <c:v>11.473882125433423</c:v>
                </c:pt>
                <c:pt idx="34">
                  <c:v>11.363023360936483</c:v>
                </c:pt>
                <c:pt idx="35">
                  <c:v>11.147610595800245</c:v>
                </c:pt>
                <c:pt idx="36">
                  <c:v>11.095027526952132</c:v>
                </c:pt>
                <c:pt idx="37">
                  <c:v>10.940213189366753</c:v>
                </c:pt>
                <c:pt idx="38">
                  <c:v>10.889564054230796</c:v>
                </c:pt>
                <c:pt idx="39">
                  <c:v>10.99133568090585</c:v>
                </c:pt>
                <c:pt idx="40">
                  <c:v>10.740391943898867</c:v>
                </c:pt>
                <c:pt idx="41">
                  <c:v>10.643193826759511</c:v>
                </c:pt>
                <c:pt idx="42">
                  <c:v>10.691571980517509</c:v>
                </c:pt>
                <c:pt idx="43">
                  <c:v>10.595251512224559</c:v>
                </c:pt>
                <c:pt idx="44">
                  <c:v>10.453981492061564</c:v>
                </c:pt>
                <c:pt idx="45">
                  <c:v>10.643193826759511</c:v>
                </c:pt>
                <c:pt idx="46">
                  <c:v>10.453981492061564</c:v>
                </c:pt>
                <c:pt idx="47">
                  <c:v>10.271379195256996</c:v>
                </c:pt>
                <c:pt idx="48">
                  <c:v>9.9246659734761682</c:v>
                </c:pt>
                <c:pt idx="49">
                  <c:v>10.009131215803626</c:v>
                </c:pt>
                <c:pt idx="50">
                  <c:v>10.095046505209664</c:v>
                </c:pt>
                <c:pt idx="51">
                  <c:v>10.138559636697638</c:v>
                </c:pt>
                <c:pt idx="52">
                  <c:v>10.095046505209664</c:v>
                </c:pt>
                <c:pt idx="53">
                  <c:v>10.051905280828427</c:v>
                </c:pt>
                <c:pt idx="54">
                  <c:v>10.138559636697638</c:v>
                </c:pt>
                <c:pt idx="55">
                  <c:v>9.8416143753717655</c:v>
                </c:pt>
                <c:pt idx="56">
                  <c:v>9.8006076488077163</c:v>
                </c:pt>
                <c:pt idx="57">
                  <c:v>9.7196108913795545</c:v>
                </c:pt>
                <c:pt idx="58">
                  <c:v>9.6399419496469338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D4-4811-B409-2C886CFC1121}"/>
            </c:ext>
          </c:extLst>
        </c:ser>
        <c:ser>
          <c:idx val="2"/>
          <c:order val="2"/>
          <c:tx>
            <c:strRef>
              <c:f>'1_summary econ graph'!$D$37</c:f>
              <c:strCache>
                <c:ptCount val="1"/>
                <c:pt idx="0">
                  <c:v>lower bound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graph'!$D$38:$D$98</c:f>
              <c:numCache>
                <c:formatCode>0.00</c:formatCode>
                <c:ptCount val="61"/>
                <c:pt idx="0">
                  <c:v>10</c:v>
                </c:pt>
                <c:pt idx="1">
                  <c:v>9.9</c:v>
                </c:pt>
                <c:pt idx="2">
                  <c:v>9.8000000000000007</c:v>
                </c:pt>
                <c:pt idx="3">
                  <c:v>9.6999999999999993</c:v>
                </c:pt>
                <c:pt idx="4">
                  <c:v>9.6</c:v>
                </c:pt>
                <c:pt idx="5">
                  <c:v>9.5</c:v>
                </c:pt>
                <c:pt idx="6">
                  <c:v>9.4</c:v>
                </c:pt>
                <c:pt idx="7">
                  <c:v>9.3000000000000007</c:v>
                </c:pt>
                <c:pt idx="8">
                  <c:v>9.1999999999999993</c:v>
                </c:pt>
                <c:pt idx="9">
                  <c:v>9.1</c:v>
                </c:pt>
                <c:pt idx="10">
                  <c:v>9</c:v>
                </c:pt>
                <c:pt idx="11">
                  <c:v>8.9</c:v>
                </c:pt>
                <c:pt idx="12">
                  <c:v>8.8000000000000007</c:v>
                </c:pt>
                <c:pt idx="13">
                  <c:v>8.6999999999999993</c:v>
                </c:pt>
                <c:pt idx="14">
                  <c:v>8.6</c:v>
                </c:pt>
                <c:pt idx="15">
                  <c:v>8.5000000000000107</c:v>
                </c:pt>
                <c:pt idx="16">
                  <c:v>8.4000000000000092</c:v>
                </c:pt>
                <c:pt idx="17">
                  <c:v>8.3000000000000096</c:v>
                </c:pt>
                <c:pt idx="18">
                  <c:v>8.2000000000000099</c:v>
                </c:pt>
                <c:pt idx="19">
                  <c:v>8.1000000000000103</c:v>
                </c:pt>
                <c:pt idx="20">
                  <c:v>8.0000000000000107</c:v>
                </c:pt>
                <c:pt idx="21">
                  <c:v>7.9000000000000101</c:v>
                </c:pt>
                <c:pt idx="22">
                  <c:v>7.8000000000000096</c:v>
                </c:pt>
                <c:pt idx="23">
                  <c:v>7.7000000000000099</c:v>
                </c:pt>
                <c:pt idx="24">
                  <c:v>7.6000000000000103</c:v>
                </c:pt>
                <c:pt idx="25">
                  <c:v>7.5000000000000098</c:v>
                </c:pt>
                <c:pt idx="26">
                  <c:v>7.4000000000000101</c:v>
                </c:pt>
                <c:pt idx="27">
                  <c:v>7.3000000000000096</c:v>
                </c:pt>
                <c:pt idx="28">
                  <c:v>7.2000000000000099</c:v>
                </c:pt>
                <c:pt idx="29">
                  <c:v>7.1000000000000103</c:v>
                </c:pt>
                <c:pt idx="30">
                  <c:v>7.0000000000000098</c:v>
                </c:pt>
                <c:pt idx="31">
                  <c:v>6.9000000000000101</c:v>
                </c:pt>
                <c:pt idx="32">
                  <c:v>6.8000000000000096</c:v>
                </c:pt>
                <c:pt idx="33">
                  <c:v>6.7000000000000099</c:v>
                </c:pt>
                <c:pt idx="34">
                  <c:v>6.6000000000000103</c:v>
                </c:pt>
                <c:pt idx="35">
                  <c:v>6.5000000000000098</c:v>
                </c:pt>
                <c:pt idx="36">
                  <c:v>6.4000000000000101</c:v>
                </c:pt>
                <c:pt idx="37">
                  <c:v>6.3000000000000096</c:v>
                </c:pt>
                <c:pt idx="38">
                  <c:v>6.2000000000000099</c:v>
                </c:pt>
                <c:pt idx="39">
                  <c:v>6.1000000000000103</c:v>
                </c:pt>
                <c:pt idx="40">
                  <c:v>6.0000000000000098</c:v>
                </c:pt>
                <c:pt idx="41">
                  <c:v>5.9000000000000101</c:v>
                </c:pt>
                <c:pt idx="42">
                  <c:v>5.8000000000000096</c:v>
                </c:pt>
                <c:pt idx="43">
                  <c:v>5.7000000000000197</c:v>
                </c:pt>
                <c:pt idx="44">
                  <c:v>5.6000000000000201</c:v>
                </c:pt>
                <c:pt idx="45">
                  <c:v>5.5000000000000204</c:v>
                </c:pt>
                <c:pt idx="46">
                  <c:v>5.4000000000000199</c:v>
                </c:pt>
                <c:pt idx="47">
                  <c:v>5.3000000000000203</c:v>
                </c:pt>
                <c:pt idx="48">
                  <c:v>5.2000000000000197</c:v>
                </c:pt>
                <c:pt idx="49">
                  <c:v>5.1000000000000201</c:v>
                </c:pt>
                <c:pt idx="50">
                  <c:v>5.0000000000000204</c:v>
                </c:pt>
                <c:pt idx="51">
                  <c:v>4.9000000000000199</c:v>
                </c:pt>
                <c:pt idx="52">
                  <c:v>4.8000000000000203</c:v>
                </c:pt>
                <c:pt idx="53">
                  <c:v>4.7000000000000197</c:v>
                </c:pt>
                <c:pt idx="54">
                  <c:v>4.6000000000000201</c:v>
                </c:pt>
                <c:pt idx="55">
                  <c:v>4.5000000000000204</c:v>
                </c:pt>
                <c:pt idx="56">
                  <c:v>4.4000000000000199</c:v>
                </c:pt>
                <c:pt idx="57">
                  <c:v>4.3000000000000203</c:v>
                </c:pt>
                <c:pt idx="58">
                  <c:v>4.2000000000000197</c:v>
                </c:pt>
                <c:pt idx="59">
                  <c:v>4.1000000000000201</c:v>
                </c:pt>
                <c:pt idx="60">
                  <c:v>4.0000000000000204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DD4-4811-B409-2C886CFC1121}"/>
            </c:ext>
          </c:extLst>
        </c:ser>
        <c:ser>
          <c:idx val="3"/>
          <c:order val="3"/>
          <c:tx>
            <c:strRef>
              <c:f>'1_summary econ graph'!$E$37</c:f>
              <c:strCache>
                <c:ptCount val="1"/>
                <c:pt idx="0">
                  <c:v>upper bound</c:v>
                </c:pt>
              </c:strCache>
            </c:strRef>
          </c:tx>
          <c:spPr>
            <a:ln w="28575" cap="rnd">
              <a:solidFill>
                <a:schemeClr val="accent4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graph'!$E$38:$E$98</c:f>
              <c:numCache>
                <c:formatCode>0.00</c:formatCode>
                <c:ptCount val="61"/>
                <c:pt idx="0">
                  <c:v>18</c:v>
                </c:pt>
                <c:pt idx="1">
                  <c:v>17.850000000000001</c:v>
                </c:pt>
                <c:pt idx="2">
                  <c:v>17.7</c:v>
                </c:pt>
                <c:pt idx="3">
                  <c:v>17.55</c:v>
                </c:pt>
                <c:pt idx="4">
                  <c:v>17.399999999999999</c:v>
                </c:pt>
                <c:pt idx="5">
                  <c:v>17.25</c:v>
                </c:pt>
                <c:pt idx="6">
                  <c:v>17.100000000000001</c:v>
                </c:pt>
                <c:pt idx="7">
                  <c:v>16.95</c:v>
                </c:pt>
                <c:pt idx="8">
                  <c:v>16.8</c:v>
                </c:pt>
                <c:pt idx="9">
                  <c:v>16.649999999999999</c:v>
                </c:pt>
                <c:pt idx="10">
                  <c:v>16.5</c:v>
                </c:pt>
                <c:pt idx="11">
                  <c:v>16.350000000000001</c:v>
                </c:pt>
                <c:pt idx="12">
                  <c:v>16.2</c:v>
                </c:pt>
                <c:pt idx="13">
                  <c:v>16.05</c:v>
                </c:pt>
                <c:pt idx="14">
                  <c:v>15.9</c:v>
                </c:pt>
                <c:pt idx="15">
                  <c:v>15.75</c:v>
                </c:pt>
                <c:pt idx="16">
                  <c:v>15.6</c:v>
                </c:pt>
                <c:pt idx="17">
                  <c:v>15.45</c:v>
                </c:pt>
                <c:pt idx="18">
                  <c:v>15.3</c:v>
                </c:pt>
                <c:pt idx="19">
                  <c:v>15.15</c:v>
                </c:pt>
                <c:pt idx="20">
                  <c:v>15</c:v>
                </c:pt>
                <c:pt idx="21">
                  <c:v>14.85</c:v>
                </c:pt>
                <c:pt idx="22">
                  <c:v>14.7</c:v>
                </c:pt>
                <c:pt idx="23">
                  <c:v>14.55</c:v>
                </c:pt>
                <c:pt idx="24">
                  <c:v>14.4</c:v>
                </c:pt>
                <c:pt idx="25">
                  <c:v>14.25</c:v>
                </c:pt>
                <c:pt idx="26">
                  <c:v>14.1</c:v>
                </c:pt>
                <c:pt idx="27">
                  <c:v>13.95</c:v>
                </c:pt>
                <c:pt idx="28">
                  <c:v>13.8</c:v>
                </c:pt>
                <c:pt idx="29">
                  <c:v>13.65</c:v>
                </c:pt>
                <c:pt idx="30">
                  <c:v>13.5</c:v>
                </c:pt>
                <c:pt idx="31">
                  <c:v>13.35</c:v>
                </c:pt>
                <c:pt idx="32">
                  <c:v>13.2</c:v>
                </c:pt>
                <c:pt idx="33">
                  <c:v>13.0500000000001</c:v>
                </c:pt>
                <c:pt idx="34">
                  <c:v>12.9000000000001</c:v>
                </c:pt>
                <c:pt idx="35">
                  <c:v>12.75</c:v>
                </c:pt>
                <c:pt idx="36">
                  <c:v>12.600000000000099</c:v>
                </c:pt>
                <c:pt idx="37">
                  <c:v>12.45</c:v>
                </c:pt>
                <c:pt idx="38">
                  <c:v>12.3000000000001</c:v>
                </c:pt>
                <c:pt idx="39">
                  <c:v>12.1500000000001</c:v>
                </c:pt>
                <c:pt idx="40">
                  <c:v>12.000000000000099</c:v>
                </c:pt>
                <c:pt idx="41">
                  <c:v>11.850000000000099</c:v>
                </c:pt>
                <c:pt idx="42">
                  <c:v>11.700000000000101</c:v>
                </c:pt>
                <c:pt idx="43">
                  <c:v>11.5500000000001</c:v>
                </c:pt>
                <c:pt idx="44">
                  <c:v>11.4000000000001</c:v>
                </c:pt>
                <c:pt idx="45">
                  <c:v>11.250000000000099</c:v>
                </c:pt>
                <c:pt idx="46">
                  <c:v>11.100000000000099</c:v>
                </c:pt>
                <c:pt idx="47">
                  <c:v>10.950000000000101</c:v>
                </c:pt>
                <c:pt idx="48">
                  <c:v>10.8000000000001</c:v>
                </c:pt>
                <c:pt idx="49">
                  <c:v>10.6500000000001</c:v>
                </c:pt>
                <c:pt idx="50">
                  <c:v>10.500000000000099</c:v>
                </c:pt>
                <c:pt idx="51">
                  <c:v>10.350000000000099</c:v>
                </c:pt>
                <c:pt idx="52">
                  <c:v>10.200000000000101</c:v>
                </c:pt>
                <c:pt idx="53">
                  <c:v>10.0500000000001</c:v>
                </c:pt>
                <c:pt idx="54">
                  <c:v>9.9000000000000803</c:v>
                </c:pt>
                <c:pt idx="55">
                  <c:v>9.7500000000000799</c:v>
                </c:pt>
                <c:pt idx="56">
                  <c:v>9.6000000000000796</c:v>
                </c:pt>
                <c:pt idx="57">
                  <c:v>9.4500000000000792</c:v>
                </c:pt>
                <c:pt idx="58">
                  <c:v>9.3000000000000806</c:v>
                </c:pt>
                <c:pt idx="59">
                  <c:v>9.1500000000000803</c:v>
                </c:pt>
                <c:pt idx="60">
                  <c:v>9.0000000000000906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DD4-4811-B409-2C886CFC1121}"/>
            </c:ext>
          </c:extLst>
        </c:ser>
        <c:ser>
          <c:idx val="4"/>
          <c:order val="4"/>
          <c:tx>
            <c:strRef>
              <c:f>'1_summary econ graph'!$F$37</c:f>
              <c:strCache>
                <c:ptCount val="1"/>
                <c:pt idx="0">
                  <c:v>Russia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graph'!$F$38:$F$98</c:f>
              <c:numCache>
                <c:formatCode>General</c:formatCode>
                <c:ptCount val="61"/>
                <c:pt idx="25" formatCode="0.00">
                  <c:v>12</c:v>
                </c:pt>
                <c:pt idx="26" formatCode="0.00">
                  <c:v>11.956521739130435</c:v>
                </c:pt>
                <c:pt idx="27" formatCode="0.00">
                  <c:v>11.913043478260871</c:v>
                </c:pt>
                <c:pt idx="28" formatCode="0.00">
                  <c:v>11.869565217391306</c:v>
                </c:pt>
                <c:pt idx="29" formatCode="0.00">
                  <c:v>11.826086956521742</c:v>
                </c:pt>
                <c:pt idx="30" formatCode="0.00">
                  <c:v>11.782608695652177</c:v>
                </c:pt>
                <c:pt idx="31" formatCode="0.00">
                  <c:v>11.739130434782613</c:v>
                </c:pt>
                <c:pt idx="32" formatCode="0.00">
                  <c:v>11.695652173913048</c:v>
                </c:pt>
                <c:pt idx="33" formatCode="0.00">
                  <c:v>11.652173913043484</c:v>
                </c:pt>
                <c:pt idx="34" formatCode="0.00">
                  <c:v>11.608695652173919</c:v>
                </c:pt>
                <c:pt idx="35" formatCode="0.00">
                  <c:v>11.565217391304355</c:v>
                </c:pt>
                <c:pt idx="36" formatCode="0.00">
                  <c:v>11.52173913043479</c:v>
                </c:pt>
                <c:pt idx="37" formatCode="0.00">
                  <c:v>11.478260869565226</c:v>
                </c:pt>
                <c:pt idx="38" formatCode="0.00">
                  <c:v>11.434782608695661</c:v>
                </c:pt>
                <c:pt idx="39" formatCode="0.00">
                  <c:v>11.391304347826097</c:v>
                </c:pt>
                <c:pt idx="40" formatCode="0.00">
                  <c:v>11.347826086956532</c:v>
                </c:pt>
                <c:pt idx="41" formatCode="0.00">
                  <c:v>11.304347826086968</c:v>
                </c:pt>
                <c:pt idx="42" formatCode="0.00">
                  <c:v>11.260869565217403</c:v>
                </c:pt>
                <c:pt idx="43" formatCode="0.00">
                  <c:v>11.217391304347839</c:v>
                </c:pt>
                <c:pt idx="44" formatCode="0.00">
                  <c:v>11.173913043478274</c:v>
                </c:pt>
                <c:pt idx="45" formatCode="0.00">
                  <c:v>11.13043478260871</c:v>
                </c:pt>
                <c:pt idx="46" formatCode="0.00">
                  <c:v>11.086956521739145</c:v>
                </c:pt>
                <c:pt idx="47" formatCode="0.00">
                  <c:v>11.043478260869581</c:v>
                </c:pt>
                <c:pt idx="48" formatCode="0.00">
                  <c:v>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DD4-4811-B409-2C886CFC1121}"/>
            </c:ext>
          </c:extLst>
        </c:ser>
        <c:ser>
          <c:idx val="5"/>
          <c:order val="5"/>
          <c:tx>
            <c:strRef>
              <c:f>'1_summary econ graph'!$G$37</c:f>
              <c:strCache>
                <c:ptCount val="1"/>
                <c:pt idx="0">
                  <c:v>Japan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graph'!$G$38:$G$98</c:f>
              <c:numCache>
                <c:formatCode>General</c:formatCode>
                <c:ptCount val="61"/>
                <c:pt idx="40" formatCode="0.00">
                  <c:v>6.5720755398542945</c:v>
                </c:pt>
                <c:pt idx="41" formatCode="0.00">
                  <c:v>6.3830280480701544</c:v>
                </c:pt>
                <c:pt idx="42" formatCode="0.00">
                  <c:v>6.1285717449553205</c:v>
                </c:pt>
                <c:pt idx="43" formatCode="0.00">
                  <c:v>6.1285717449553205</c:v>
                </c:pt>
                <c:pt idx="44" formatCode="0.00">
                  <c:v>6.0003720298822749</c:v>
                </c:pt>
                <c:pt idx="45" formatCode="0.00">
                  <c:v>6.0187969184080137</c:v>
                </c:pt>
                <c:pt idx="46" formatCode="0.00">
                  <c:v>5.8423890603920814</c:v>
                </c:pt>
                <c:pt idx="47" formatCode="0.00">
                  <c:v>5.7749713619294187</c:v>
                </c:pt>
                <c:pt idx="48" formatCode="0.00">
                  <c:v>5.5501317501506655</c:v>
                </c:pt>
                <c:pt idx="49" formatCode="0.00">
                  <c:v>5.135689597628498</c:v>
                </c:pt>
                <c:pt idx="50" formatCode="0.00">
                  <c:v>5.0835224458911865</c:v>
                </c:pt>
                <c:pt idx="51" formatCode="0.00">
                  <c:v>4.779812712281756</c:v>
                </c:pt>
                <c:pt idx="52" formatCode="0.00">
                  <c:v>4.4296531746023584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DD4-4811-B409-2C886CFC1121}"/>
            </c:ext>
          </c:extLst>
        </c:ser>
        <c:ser>
          <c:idx val="6"/>
          <c:order val="6"/>
          <c:tx>
            <c:strRef>
              <c:f>'1_summary econ graph'!$H$37</c:f>
              <c:strCache>
                <c:ptCount val="1"/>
                <c:pt idx="0">
                  <c:v>EU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graph'!$H$38:$H$98</c:f>
              <c:numCache>
                <c:formatCode>General</c:formatCode>
                <c:ptCount val="61"/>
                <c:pt idx="40" formatCode="0.00">
                  <c:v>6.6822324878234429</c:v>
                </c:pt>
                <c:pt idx="41" formatCode="0.00">
                  <c:v>6.6614155641853632</c:v>
                </c:pt>
                <c:pt idx="42" formatCode="0.00">
                  <c:v>6.4672692760897776</c:v>
                </c:pt>
                <c:pt idx="43" formatCode="0.00">
                  <c:v>6.4672692760897776</c:v>
                </c:pt>
                <c:pt idx="44" formatCode="0.00">
                  <c:v>6.3229726766501395</c:v>
                </c:pt>
                <c:pt idx="45" formatCode="0.00">
                  <c:v>6.3229726766501395</c:v>
                </c:pt>
                <c:pt idx="46" formatCode="0.00">
                  <c:v>6.2640368461087945</c:v>
                </c:pt>
                <c:pt idx="47" formatCode="0.00">
                  <c:v>6.2242546592057471</c:v>
                </c:pt>
                <c:pt idx="48" formatCode="0.00">
                  <c:v>6.0187969184080137</c:v>
                </c:pt>
                <c:pt idx="49" formatCode="0.00">
                  <c:v>5.7411418982520184</c:v>
                </c:pt>
                <c:pt idx="50" formatCode="0.00">
                  <c:v>5.5658917077942549</c:v>
                </c:pt>
                <c:pt idx="51" formatCode="0.00">
                  <c:v>5.3701959719494345</c:v>
                </c:pt>
                <c:pt idx="52" formatCode="0.00">
                  <c:v>5.2573666421856329</c:v>
                </c:pt>
                <c:pt idx="53" formatCode="0.00">
                  <c:v>5.0703725710580985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DD4-4811-B409-2C886CFC1121}"/>
            </c:ext>
          </c:extLst>
        </c:ser>
        <c:ser>
          <c:idx val="7"/>
          <c:order val="7"/>
          <c:tx>
            <c:strRef>
              <c:f>'1_summary econ graph'!$I$37</c:f>
              <c:strCache>
                <c:ptCount val="1"/>
                <c:pt idx="0">
                  <c:v>US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graph'!$I$38:$I$98</c:f>
              <c:numCache>
                <c:formatCode>General</c:formatCode>
                <c:ptCount val="61"/>
                <c:pt idx="40" formatCode="0.00">
                  <c:v>7.8066572708723934</c:v>
                </c:pt>
                <c:pt idx="41" formatCode="0.00">
                  <c:v>7.8066572708723934</c:v>
                </c:pt>
                <c:pt idx="42" formatCode="0.00">
                  <c:v>7.6867510971040911</c:v>
                </c:pt>
                <c:pt idx="43" formatCode="0.00">
                  <c:v>7.5704725964398198</c:v>
                </c:pt>
                <c:pt idx="44" formatCode="0.00">
                  <c:v>7.4576595932588843</c:v>
                </c:pt>
                <c:pt idx="45" formatCode="0.00">
                  <c:v>7.3458645712487565</c:v>
                </c:pt>
                <c:pt idx="46" formatCode="0.00">
                  <c:v>7.5124427841387806</c:v>
                </c:pt>
                <c:pt idx="47" formatCode="0.00">
                  <c:v>7.188709766851626</c:v>
                </c:pt>
                <c:pt idx="48" formatCode="0.00">
                  <c:v>7.1104771333550545</c:v>
                </c:pt>
                <c:pt idx="49" formatCode="0.00">
                  <c:v>6.7726629303594938</c:v>
                </c:pt>
                <c:pt idx="50" formatCode="0.00">
                  <c:v>6.8197907675089935</c:v>
                </c:pt>
                <c:pt idx="51" formatCode="0.00">
                  <c:v>6.7512796662280481</c:v>
                </c:pt>
                <c:pt idx="52" formatCode="0.00">
                  <c:v>6.6822324878234429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4DD4-4811-B409-2C886CFC1121}"/>
            </c:ext>
          </c:extLst>
        </c:ser>
        <c:ser>
          <c:idx val="8"/>
          <c:order val="8"/>
          <c:tx>
            <c:strRef>
              <c:f>'1_summary econ graph'!$J$37</c:f>
              <c:strCache>
                <c:ptCount val="1"/>
                <c:pt idx="0">
                  <c:v>China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graph'!$J$38:$J$98</c:f>
              <c:numCache>
                <c:formatCode>General</c:formatCode>
                <c:ptCount val="61"/>
                <c:pt idx="40" formatCode="0.00">
                  <c:v>8.4336530502468694</c:v>
                </c:pt>
                <c:pt idx="41" formatCode="0.00">
                  <c:v>8.4700966356278435</c:v>
                </c:pt>
                <c:pt idx="42" formatCode="0.00">
                  <c:v>8.2242861388596218</c:v>
                </c:pt>
                <c:pt idx="43" formatCode="0.00">
                  <c:v>8.1248560819131335</c:v>
                </c:pt>
                <c:pt idx="44" formatCode="0.00">
                  <c:v>8.2589390298941439</c:v>
                </c:pt>
                <c:pt idx="45" formatCode="0.00">
                  <c:v>8.0250625578773533</c:v>
                </c:pt>
                <c:pt idx="46" formatCode="0.00">
                  <c:v>8.1899228263017143</c:v>
                </c:pt>
                <c:pt idx="47" formatCode="0.00">
                  <c:v>7.8378734945479902</c:v>
                </c:pt>
                <c:pt idx="48" formatCode="0.00">
                  <c:v>7.8066572708723934</c:v>
                </c:pt>
                <c:pt idx="49" formatCode="0.00">
                  <c:v>7.4837602154433727</c:v>
                </c:pt>
                <c:pt idx="50" formatCode="0.00">
                  <c:v>7.2395993712337701</c:v>
                </c:pt>
                <c:pt idx="51" formatCode="0.00">
                  <c:v>7.3207153305753252</c:v>
                </c:pt>
                <c:pt idx="52" formatCode="0.00">
                  <c:v>6.8675790823762108</c:v>
                </c:pt>
                <c:pt idx="53" formatCode="0.00">
                  <c:v>6.7726629303594938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4DD4-4811-B409-2C886CFC1121}"/>
            </c:ext>
          </c:extLst>
        </c:ser>
        <c:ser>
          <c:idx val="9"/>
          <c:order val="9"/>
          <c:tx>
            <c:strRef>
              <c:f>'1_summary econ graph'!$K$37</c:f>
              <c:strCache>
                <c:ptCount val="1"/>
                <c:pt idx="0">
                  <c:v>Mexico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graph'!$K$38:$K$98</c:f>
              <c:numCache>
                <c:formatCode>General</c:formatCode>
                <c:ptCount val="61"/>
                <c:pt idx="42" formatCode="0.00">
                  <c:v>8.1248560819131335</c:v>
                </c:pt>
                <c:pt idx="46" formatCode="0.00">
                  <c:v>7.2395993712337701</c:v>
                </c:pt>
                <c:pt idx="48" formatCode="0.00">
                  <c:v>7.1104771333550545</c:v>
                </c:pt>
                <c:pt idx="50" formatCode="0.00">
                  <c:v>6.9384832911913046</c:v>
                </c:pt>
                <c:pt idx="51" formatCode="0.00">
                  <c:v>6.8436015004767308</c:v>
                </c:pt>
                <c:pt idx="52" formatCode="0.00">
                  <c:v>6.7512796662280481</c:v>
                </c:pt>
                <c:pt idx="53" formatCode="0.00">
                  <c:v>6.6822324878234429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4DD4-4811-B409-2C886CFC1121}"/>
            </c:ext>
          </c:extLst>
        </c:ser>
        <c:ser>
          <c:idx val="10"/>
          <c:order val="10"/>
          <c:tx>
            <c:strRef>
              <c:f>'1_summary econ graph'!$L$37</c:f>
              <c:strCache>
                <c:ptCount val="1"/>
                <c:pt idx="0">
                  <c:v>South Korea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graph'!$L$38:$L$98</c:f>
              <c:numCache>
                <c:formatCode>General</c:formatCode>
                <c:ptCount val="61"/>
                <c:pt idx="48" formatCode="0.00">
                  <c:v>7.0869112254108231</c:v>
                </c:pt>
                <c:pt idx="49" formatCode="0.00">
                  <c:v>6.9384832911913046</c:v>
                </c:pt>
                <c:pt idx="50" formatCode="0.00">
                  <c:v>6.8197907675089935</c:v>
                </c:pt>
                <c:pt idx="51" formatCode="0.00">
                  <c:v>6.6164439823174463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4DD4-4811-B409-2C886CFC1121}"/>
            </c:ext>
          </c:extLst>
        </c:ser>
        <c:ser>
          <c:idx val="11"/>
          <c:order val="11"/>
          <c:tx>
            <c:strRef>
              <c:f>'1_summary econ graph'!$M$37</c:f>
              <c:strCache>
                <c:ptCount val="1"/>
                <c:pt idx="0">
                  <c:v>India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graph'!$M$38:$M$98</c:f>
              <c:numCache>
                <c:formatCode>General</c:formatCode>
                <c:ptCount val="61"/>
                <c:pt idx="43" formatCode="0.00">
                  <c:v>8.7278138616469452</c:v>
                </c:pt>
                <c:pt idx="44" formatCode="0.00">
                  <c:v>8.2242861388596218</c:v>
                </c:pt>
                <c:pt idx="45" formatCode="0.00">
                  <c:v>8.1558454775098888</c:v>
                </c:pt>
                <c:pt idx="46" formatCode="0.00">
                  <c:v>8.0913169443200967</c:v>
                </c:pt>
                <c:pt idx="47" formatCode="0.00">
                  <c:v>7.8066572708723934</c:v>
                </c:pt>
                <c:pt idx="48" formatCode="0.00">
                  <c:v>7.5704725964398198</c:v>
                </c:pt>
                <c:pt idx="49" formatCode="0.00">
                  <c:v>7.1104771333550545</c:v>
                </c:pt>
                <c:pt idx="50" formatCode="0.00">
                  <c:v>6.7512796662280481</c:v>
                </c:pt>
                <c:pt idx="51" formatCode="0.00">
                  <c:v>6.4672692760897776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4DD4-4811-B409-2C886CFC1121}"/>
            </c:ext>
          </c:extLst>
        </c:ser>
        <c:ser>
          <c:idx val="12"/>
          <c:order val="12"/>
          <c:tx>
            <c:strRef>
              <c:f>'1_summary econ graph'!$N$37</c:f>
              <c:strCache>
                <c:ptCount val="1"/>
                <c:pt idx="0">
                  <c:v>Brazil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graph'!$N$38:$N$98</c:f>
              <c:numCache>
                <c:formatCode>General</c:formatCode>
                <c:ptCount val="61"/>
                <c:pt idx="46" formatCode="0.00">
                  <c:v>5.9820596025275998</c:v>
                </c:pt>
                <c:pt idx="49" formatCode="0.00">
                  <c:v>5.5501317501506655</c:v>
                </c:pt>
                <c:pt idx="50" formatCode="0.00">
                  <c:v>5.4296995284253278</c:v>
                </c:pt>
                <c:pt idx="51" formatCode="0.00">
                  <c:v>5.3701959719494345</c:v>
                </c:pt>
                <c:pt idx="52" formatCode="0.00">
                  <c:v>5.3997838285441961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4DD4-4811-B409-2C886CFC1121}"/>
            </c:ext>
          </c:extLst>
        </c:ser>
        <c:ser>
          <c:idx val="13"/>
          <c:order val="13"/>
          <c:tx>
            <c:strRef>
              <c:f>'1_summary econ graph'!$O$37</c:f>
              <c:strCache>
                <c:ptCount val="1"/>
                <c:pt idx="0">
                  <c:v>USA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graph'!$O$38:$O$98</c:f>
              <c:numCache>
                <c:formatCode>General</c:formatCode>
                <c:ptCount val="61"/>
                <c:pt idx="15" formatCode="0.00">
                  <c:v>14.76551058200786</c:v>
                </c:pt>
                <c:pt idx="16" formatCode="0.00">
                  <c:v>13.341723401666773</c:v>
                </c:pt>
                <c:pt idx="17" formatCode="0.00">
                  <c:v>12.504762550312876</c:v>
                </c:pt>
                <c:pt idx="18" formatCode="0.00">
                  <c:v>11.621273891866858</c:v>
                </c:pt>
                <c:pt idx="19" formatCode="0.00">
                  <c:v>11.547107686371389</c:v>
                </c:pt>
                <c:pt idx="20" formatCode="0.00">
                  <c:v>9.895438938636314</c:v>
                </c:pt>
                <c:pt idx="21" formatCode="0.00">
                  <c:v>9.3302095823635529</c:v>
                </c:pt>
                <c:pt idx="22" formatCode="0.00">
                  <c:v>9.0051525103899372</c:v>
                </c:pt>
                <c:pt idx="23" formatCode="0.00">
                  <c:v>9.0501955972060486</c:v>
                </c:pt>
                <c:pt idx="24" formatCode="0.00">
                  <c:v>9.0051525103899372</c:v>
                </c:pt>
                <c:pt idx="25" formatCode="0.00">
                  <c:v>8.701982374080103</c:v>
                </c:pt>
                <c:pt idx="26" formatCode="0.00">
                  <c:v>8.2997383052711786</c:v>
                </c:pt>
                <c:pt idx="27" formatCode="0.00">
                  <c:v>8.337985947230953</c:v>
                </c:pt>
                <c:pt idx="28" formatCode="0.00">
                  <c:v>8.1136455181574743</c:v>
                </c:pt>
                <c:pt idx="29" formatCode="0.00">
                  <c:v>8.2618399568452823</c:v>
                </c:pt>
                <c:pt idx="30" formatCode="0.00">
                  <c:v>8.4155486072051957</c:v>
                </c:pt>
                <c:pt idx="31" formatCode="0.00">
                  <c:v>8.3765877340236905</c:v>
                </c:pt>
                <c:pt idx="32" formatCode="0.00">
                  <c:v>8.534636559193947</c:v>
                </c:pt>
                <c:pt idx="33" formatCode="0.00">
                  <c:v>8.2997383052711786</c:v>
                </c:pt>
                <c:pt idx="34" formatCode="0.00">
                  <c:v>8.3765877340236905</c:v>
                </c:pt>
                <c:pt idx="35" formatCode="0.00">
                  <c:v>8.2242861388596218</c:v>
                </c:pt>
                <c:pt idx="36" formatCode="0.00">
                  <c:v>8.2618399568452823</c:v>
                </c:pt>
                <c:pt idx="37" formatCode="0.00">
                  <c:v>8.1870721744303925</c:v>
                </c:pt>
                <c:pt idx="38" formatCode="0.00">
                  <c:v>8.1501934709419679</c:v>
                </c:pt>
                <c:pt idx="39" formatCode="0.00">
                  <c:v>8.2997383052711786</c:v>
                </c:pt>
                <c:pt idx="40" formatCode="0.00">
                  <c:v>8.2997383052711786</c:v>
                </c:pt>
                <c:pt idx="41" formatCode="0.00">
                  <c:v>8.1870721744303925</c:v>
                </c:pt>
                <c:pt idx="42" formatCode="0.00">
                  <c:v>8.1870721744303925</c:v>
                </c:pt>
                <c:pt idx="43" formatCode="0.00">
                  <c:v>8.1136455181574743</c:v>
                </c:pt>
                <c:pt idx="44" formatCode="0.00">
                  <c:v>8.0774238863799859</c:v>
                </c:pt>
                <c:pt idx="45" formatCode="0.00">
                  <c:v>7.898407776070691</c:v>
                </c:pt>
                <c:pt idx="46" formatCode="0.00">
                  <c:v>8.0774238863799859</c:v>
                </c:pt>
                <c:pt idx="47" formatCode="0.00">
                  <c:v>7.9706737909652716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4DD4-4811-B409-2C886CFC1121}"/>
            </c:ext>
          </c:extLst>
        </c:ser>
        <c:ser>
          <c:idx val="14"/>
          <c:order val="14"/>
          <c:tx>
            <c:strRef>
              <c:f>'1_summary econ graph'!$P$37</c:f>
              <c:strCache>
                <c:ptCount val="1"/>
                <c:pt idx="0">
                  <c:v>Sri Lanka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graph'!$P$38:$P$98</c:f>
              <c:numCache>
                <c:formatCode>General</c:formatCode>
                <c:ptCount val="61"/>
                <c:pt idx="52" formatCode="0.00">
                  <c:v>6.0839999999999996</c:v>
                </c:pt>
                <c:pt idx="53" formatCode="0.00">
                  <c:v>6.3019999999999996</c:v>
                </c:pt>
                <c:pt idx="54" formatCode="0.00">
                  <c:v>6.3959999999999999</c:v>
                </c:pt>
                <c:pt idx="55" formatCode="0.00">
                  <c:v>6.4889999999999999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4DD4-4811-B409-2C886CFC1121}"/>
            </c:ext>
          </c:extLst>
        </c:ser>
        <c:ser>
          <c:idx val="15"/>
          <c:order val="15"/>
          <c:tx>
            <c:strRef>
              <c:f>'1_summary econ graph'!$Q$37</c:f>
              <c:strCache>
                <c:ptCount val="1"/>
                <c:pt idx="0">
                  <c:v>Sweden car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graph'!$Q$38:$Q$98</c:f>
              <c:numCache>
                <c:formatCode>General</c:formatCode>
                <c:ptCount val="61"/>
                <c:pt idx="11" formatCode="0.00">
                  <c:v>9.9700000000000006</c:v>
                </c:pt>
                <c:pt idx="12" formatCode="0.00">
                  <c:v>10.220000000000001</c:v>
                </c:pt>
                <c:pt idx="13" formatCode="0.00">
                  <c:v>10.02</c:v>
                </c:pt>
                <c:pt idx="14" formatCode="0.00">
                  <c:v>9.92</c:v>
                </c:pt>
                <c:pt idx="16" formatCode="0.00">
                  <c:v>10.17</c:v>
                </c:pt>
                <c:pt idx="17" formatCode="0.00">
                  <c:v>10.27</c:v>
                </c:pt>
                <c:pt idx="19" formatCode="0.00">
                  <c:v>10.17</c:v>
                </c:pt>
                <c:pt idx="20" formatCode="0.00">
                  <c:v>10.220000000000001</c:v>
                </c:pt>
                <c:pt idx="23" formatCode="0.00">
                  <c:v>10.17</c:v>
                </c:pt>
                <c:pt idx="25" formatCode="0.00">
                  <c:v>10.119999999999999</c:v>
                </c:pt>
                <c:pt idx="26" formatCode="0.00">
                  <c:v>10.119999999999999</c:v>
                </c:pt>
                <c:pt idx="27" formatCode="0.00">
                  <c:v>9.81</c:v>
                </c:pt>
                <c:pt idx="29" formatCode="0.00">
                  <c:v>9.66</c:v>
                </c:pt>
                <c:pt idx="31" formatCode="0.00">
                  <c:v>9.51</c:v>
                </c:pt>
                <c:pt idx="33" formatCode="0.00">
                  <c:v>9.36</c:v>
                </c:pt>
                <c:pt idx="34" formatCode="0.00">
                  <c:v>9.41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F-4DD4-4811-B409-2C886CFC1121}"/>
            </c:ext>
          </c:extLst>
        </c:ser>
        <c:ser>
          <c:idx val="16"/>
          <c:order val="16"/>
          <c:tx>
            <c:strRef>
              <c:f>'1_summary econ graph'!$R$37</c:f>
              <c:strCache>
                <c:ptCount val="1"/>
                <c:pt idx="0">
                  <c:v>Italy car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graph'!$R$38:$R$98</c:f>
              <c:numCache>
                <c:formatCode>General</c:formatCode>
                <c:ptCount val="61"/>
                <c:pt idx="10" formatCode="0.00">
                  <c:v>10.37</c:v>
                </c:pt>
                <c:pt idx="11" formatCode="0.00">
                  <c:v>10.58</c:v>
                </c:pt>
                <c:pt idx="13" formatCode="0.00">
                  <c:v>10.68</c:v>
                </c:pt>
                <c:pt idx="14" formatCode="0.00">
                  <c:v>10.32</c:v>
                </c:pt>
                <c:pt idx="15" formatCode="0.00">
                  <c:v>10.68</c:v>
                </c:pt>
                <c:pt idx="16" formatCode="0.00">
                  <c:v>10.63</c:v>
                </c:pt>
                <c:pt idx="18" formatCode="0.00">
                  <c:v>10.88</c:v>
                </c:pt>
                <c:pt idx="20" formatCode="0.00">
                  <c:v>10.93</c:v>
                </c:pt>
                <c:pt idx="22" formatCode="0.00">
                  <c:v>10.73</c:v>
                </c:pt>
                <c:pt idx="24" formatCode="0.00">
                  <c:v>10.73</c:v>
                </c:pt>
                <c:pt idx="26" formatCode="0.00">
                  <c:v>10.58</c:v>
                </c:pt>
                <c:pt idx="28" formatCode="0.00">
                  <c:v>10.220000000000001</c:v>
                </c:pt>
                <c:pt idx="30" formatCode="0.00">
                  <c:v>10.07</c:v>
                </c:pt>
                <c:pt idx="31" formatCode="0.00">
                  <c:v>9.76</c:v>
                </c:pt>
                <c:pt idx="33" formatCode="0.00">
                  <c:v>9.81</c:v>
                </c:pt>
                <c:pt idx="34" formatCode="0.00">
                  <c:v>10.02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4DD4-4811-B409-2C886CFC1121}"/>
            </c:ext>
          </c:extLst>
        </c:ser>
        <c:ser>
          <c:idx val="17"/>
          <c:order val="17"/>
          <c:tx>
            <c:strRef>
              <c:f>'1_summary econ graph'!$S$37</c:f>
              <c:strCache>
                <c:ptCount val="1"/>
                <c:pt idx="0">
                  <c:v>W. Germany car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graph'!$S$38:$S$98</c:f>
              <c:numCache>
                <c:formatCode>General</c:formatCode>
                <c:ptCount val="61"/>
                <c:pt idx="10" formatCode="0.00">
                  <c:v>8.59</c:v>
                </c:pt>
                <c:pt idx="12" formatCode="0.00">
                  <c:v>8.5399999999999991</c:v>
                </c:pt>
                <c:pt idx="13" formatCode="0.00">
                  <c:v>8.9499999999999993</c:v>
                </c:pt>
                <c:pt idx="14" formatCode="0.00">
                  <c:v>8.59</c:v>
                </c:pt>
                <c:pt idx="15" formatCode="0.00">
                  <c:v>8.8000000000000007</c:v>
                </c:pt>
                <c:pt idx="16" formatCode="0.00">
                  <c:v>9.1</c:v>
                </c:pt>
                <c:pt idx="18" formatCode="0.00">
                  <c:v>9.15</c:v>
                </c:pt>
                <c:pt idx="20" formatCode="0.00">
                  <c:v>8.85</c:v>
                </c:pt>
                <c:pt idx="21" formatCode="0.00">
                  <c:v>9.4600000000000009</c:v>
                </c:pt>
                <c:pt idx="23" formatCode="0.00">
                  <c:v>9.56</c:v>
                </c:pt>
                <c:pt idx="24" formatCode="0.00">
                  <c:v>9.25</c:v>
                </c:pt>
                <c:pt idx="26" formatCode="0.00">
                  <c:v>8.9499999999999993</c:v>
                </c:pt>
                <c:pt idx="28" formatCode="0.00">
                  <c:v>8.8000000000000007</c:v>
                </c:pt>
                <c:pt idx="30" formatCode="0.00">
                  <c:v>8.64</c:v>
                </c:pt>
                <c:pt idx="32" formatCode="0.00">
                  <c:v>8.39</c:v>
                </c:pt>
                <c:pt idx="33" formatCode="0.00">
                  <c:v>8.2899999999999991</c:v>
                </c:pt>
                <c:pt idx="35" formatCode="0.00">
                  <c:v>8.14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4DD4-4811-B409-2C886CFC1121}"/>
            </c:ext>
          </c:extLst>
        </c:ser>
        <c:ser>
          <c:idx val="18"/>
          <c:order val="18"/>
          <c:tx>
            <c:strRef>
              <c:f>'1_summary econ graph'!$T$37</c:f>
              <c:strCache>
                <c:ptCount val="1"/>
                <c:pt idx="0">
                  <c:v>Finland car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graph'!$T$38:$T$98</c:f>
              <c:numCache>
                <c:formatCode>General</c:formatCode>
                <c:ptCount val="61"/>
                <c:pt idx="12" formatCode="0.00">
                  <c:v>9.61</c:v>
                </c:pt>
                <c:pt idx="13" formatCode="0.00">
                  <c:v>9.25</c:v>
                </c:pt>
                <c:pt idx="15" formatCode="0.00">
                  <c:v>9.1</c:v>
                </c:pt>
                <c:pt idx="16" formatCode="0.00">
                  <c:v>8.85</c:v>
                </c:pt>
                <c:pt idx="18" formatCode="0.00">
                  <c:v>8.69</c:v>
                </c:pt>
                <c:pt idx="19" formatCode="0.00">
                  <c:v>9.0500000000000007</c:v>
                </c:pt>
                <c:pt idx="20" formatCode="0.00">
                  <c:v>8.9</c:v>
                </c:pt>
                <c:pt idx="22" formatCode="0.00">
                  <c:v>8.9</c:v>
                </c:pt>
                <c:pt idx="23" formatCode="0.00">
                  <c:v>8.9499999999999993</c:v>
                </c:pt>
                <c:pt idx="24" formatCode="0.00">
                  <c:v>8.85</c:v>
                </c:pt>
                <c:pt idx="26" formatCode="0.00">
                  <c:v>9.25</c:v>
                </c:pt>
                <c:pt idx="28" formatCode="0.00">
                  <c:v>8.9</c:v>
                </c:pt>
                <c:pt idx="29" formatCode="0.00">
                  <c:v>8.9499999999999993</c:v>
                </c:pt>
                <c:pt idx="30" formatCode="0.00">
                  <c:v>8.44</c:v>
                </c:pt>
                <c:pt idx="31" formatCode="0.00">
                  <c:v>8.69</c:v>
                </c:pt>
                <c:pt idx="32" formatCode="0.00">
                  <c:v>8.44</c:v>
                </c:pt>
                <c:pt idx="34" formatCode="0.00">
                  <c:v>8.24</c:v>
                </c:pt>
                <c:pt idx="35" formatCode="0.00">
                  <c:v>7.88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4DD4-4811-B409-2C886CFC1121}"/>
            </c:ext>
          </c:extLst>
        </c:ser>
        <c:ser>
          <c:idx val="19"/>
          <c:order val="19"/>
          <c:tx>
            <c:strRef>
              <c:f>'1_summary econ graph'!$U$37</c:f>
              <c:strCache>
                <c:ptCount val="1"/>
                <c:pt idx="0">
                  <c:v>UK car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graph'!$U$38:$U$98</c:f>
              <c:numCache>
                <c:formatCode>General</c:formatCode>
                <c:ptCount val="61"/>
                <c:pt idx="12" formatCode="0.00">
                  <c:v>9.66</c:v>
                </c:pt>
                <c:pt idx="15" formatCode="0.00">
                  <c:v>9.61</c:v>
                </c:pt>
                <c:pt idx="18" formatCode="0.00">
                  <c:v>9</c:v>
                </c:pt>
                <c:pt idx="27" formatCode="0.00">
                  <c:v>8.75</c:v>
                </c:pt>
                <c:pt idx="28" formatCode="0.00">
                  <c:v>8.59</c:v>
                </c:pt>
                <c:pt idx="29" formatCode="0.00">
                  <c:v>8.34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4DD4-4811-B409-2C886CFC1121}"/>
            </c:ext>
          </c:extLst>
        </c:ser>
        <c:ser>
          <c:idx val="20"/>
          <c:order val="20"/>
          <c:tx>
            <c:strRef>
              <c:f>'1_summary econ graph'!$V$37</c:f>
              <c:strCache>
                <c:ptCount val="1"/>
                <c:pt idx="0">
                  <c:v>S.Korea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graph'!$V$38:$V$98</c:f>
              <c:numCache>
                <c:formatCode>General</c:formatCode>
                <c:ptCount val="61"/>
                <c:pt idx="43">
                  <c:v>9.9410000000000007</c:v>
                </c:pt>
                <c:pt idx="44">
                  <c:v>9.3510000000000009</c:v>
                </c:pt>
                <c:pt idx="45">
                  <c:v>9.1449999999999996</c:v>
                </c:pt>
                <c:pt idx="46">
                  <c:v>9.1449999999999996</c:v>
                </c:pt>
                <c:pt idx="47">
                  <c:v>8.82</c:v>
                </c:pt>
                <c:pt idx="48">
                  <c:v>8.4659999999999993</c:v>
                </c:pt>
                <c:pt idx="49">
                  <c:v>7.9059999999999997</c:v>
                </c:pt>
                <c:pt idx="50">
                  <c:v>7.4630000000000001</c:v>
                </c:pt>
                <c:pt idx="51">
                  <c:v>7.1680000000000001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4DD4-4811-B409-2C886CFC1121}"/>
            </c:ext>
          </c:extLst>
        </c:ser>
        <c:ser>
          <c:idx val="21"/>
          <c:order val="21"/>
          <c:tx>
            <c:strRef>
              <c:f>'1_summary econ graph'!$W$37</c:f>
              <c:strCache>
                <c:ptCount val="1"/>
                <c:pt idx="0">
                  <c:v>US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graph'!$W$38:$W$98</c:f>
              <c:numCache>
                <c:formatCode>General</c:formatCode>
                <c:ptCount val="61"/>
                <c:pt idx="40">
                  <c:v>9.6199999999999992</c:v>
                </c:pt>
                <c:pt idx="41">
                  <c:v>9.5299999999999994</c:v>
                </c:pt>
                <c:pt idx="42">
                  <c:v>9.41</c:v>
                </c:pt>
                <c:pt idx="43">
                  <c:v>9.2899999999999991</c:v>
                </c:pt>
                <c:pt idx="44">
                  <c:v>9.32</c:v>
                </c:pt>
                <c:pt idx="45">
                  <c:v>9.14</c:v>
                </c:pt>
                <c:pt idx="46">
                  <c:v>9.17</c:v>
                </c:pt>
                <c:pt idx="47">
                  <c:v>8.91</c:v>
                </c:pt>
                <c:pt idx="48">
                  <c:v>8.82</c:v>
                </c:pt>
                <c:pt idx="49">
                  <c:v>8.35</c:v>
                </c:pt>
                <c:pt idx="50">
                  <c:v>8.0500000000000007</c:v>
                </c:pt>
                <c:pt idx="51">
                  <c:v>8.11</c:v>
                </c:pt>
                <c:pt idx="52">
                  <c:v>7.64</c:v>
                </c:pt>
                <c:pt idx="53">
                  <c:v>7.52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4DD4-4811-B409-2C886CFC1121}"/>
            </c:ext>
          </c:extLst>
        </c:ser>
        <c:ser>
          <c:idx val="22"/>
          <c:order val="22"/>
          <c:tx>
            <c:strRef>
              <c:f>'1_summary econ graph'!$X$37</c:f>
              <c:strCache>
                <c:ptCount val="1"/>
                <c:pt idx="0">
                  <c:v>China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graph'!$X$38:$X$98</c:f>
              <c:numCache>
                <c:formatCode>General</c:formatCode>
                <c:ptCount val="61"/>
                <c:pt idx="42">
                  <c:v>9.1199999999999992</c:v>
                </c:pt>
                <c:pt idx="46">
                  <c:v>8.0500000000000007</c:v>
                </c:pt>
                <c:pt idx="48">
                  <c:v>7.96</c:v>
                </c:pt>
                <c:pt idx="50">
                  <c:v>7.73</c:v>
                </c:pt>
                <c:pt idx="51">
                  <c:v>7.61</c:v>
                </c:pt>
                <c:pt idx="52">
                  <c:v>7.37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4DD4-4811-B409-2C886CFC1121}"/>
            </c:ext>
          </c:extLst>
        </c:ser>
        <c:ser>
          <c:idx val="23"/>
          <c:order val="23"/>
          <c:tx>
            <c:strRef>
              <c:f>'1_summary econ graph'!$Y$37</c:f>
              <c:strCache>
                <c:ptCount val="1"/>
                <c:pt idx="0">
                  <c:v>Canada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graph'!$Y$38:$Y$98</c:f>
              <c:numCache>
                <c:formatCode>General</c:formatCode>
                <c:ptCount val="61"/>
                <c:pt idx="40">
                  <c:v>8.73</c:v>
                </c:pt>
                <c:pt idx="41">
                  <c:v>8.73</c:v>
                </c:pt>
                <c:pt idx="42">
                  <c:v>8.61</c:v>
                </c:pt>
                <c:pt idx="43">
                  <c:v>8.5</c:v>
                </c:pt>
                <c:pt idx="44">
                  <c:v>8.3800000000000008</c:v>
                </c:pt>
                <c:pt idx="45">
                  <c:v>8.26</c:v>
                </c:pt>
                <c:pt idx="46">
                  <c:v>8.44</c:v>
                </c:pt>
                <c:pt idx="47">
                  <c:v>8.02</c:v>
                </c:pt>
                <c:pt idx="48">
                  <c:v>7.96</c:v>
                </c:pt>
                <c:pt idx="49">
                  <c:v>7.55</c:v>
                </c:pt>
                <c:pt idx="50">
                  <c:v>7.61</c:v>
                </c:pt>
                <c:pt idx="51">
                  <c:v>7.61</c:v>
                </c:pt>
                <c:pt idx="52">
                  <c:v>7.46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4DD4-4811-B409-2C886CFC1121}"/>
            </c:ext>
          </c:extLst>
        </c:ser>
        <c:ser>
          <c:idx val="24"/>
          <c:order val="24"/>
          <c:tx>
            <c:strRef>
              <c:f>'1_summary econ graph'!$Z$37</c:f>
              <c:strCache>
                <c:ptCount val="1"/>
                <c:pt idx="0">
                  <c:v>EU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graph'!$Z$38:$Z$98</c:f>
              <c:numCache>
                <c:formatCode>General</c:formatCode>
                <c:ptCount val="61"/>
                <c:pt idx="40">
                  <c:v>7.35</c:v>
                </c:pt>
                <c:pt idx="41">
                  <c:v>7.23</c:v>
                </c:pt>
                <c:pt idx="42">
                  <c:v>7.11</c:v>
                </c:pt>
                <c:pt idx="43">
                  <c:v>7.11</c:v>
                </c:pt>
                <c:pt idx="44">
                  <c:v>7.02</c:v>
                </c:pt>
                <c:pt idx="45">
                  <c:v>6.96</c:v>
                </c:pt>
                <c:pt idx="46">
                  <c:v>6.93</c:v>
                </c:pt>
                <c:pt idx="47">
                  <c:v>6.81</c:v>
                </c:pt>
                <c:pt idx="48">
                  <c:v>6.61</c:v>
                </c:pt>
                <c:pt idx="49">
                  <c:v>6.25</c:v>
                </c:pt>
                <c:pt idx="50">
                  <c:v>6.02</c:v>
                </c:pt>
                <c:pt idx="51">
                  <c:v>5.78</c:v>
                </c:pt>
                <c:pt idx="52">
                  <c:v>5.66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4DD4-4811-B409-2C886CFC1121}"/>
            </c:ext>
          </c:extLst>
        </c:ser>
        <c:ser>
          <c:idx val="25"/>
          <c:order val="25"/>
          <c:tx>
            <c:strRef>
              <c:f>'1_summary econ graph'!$AA$37</c:f>
              <c:strCache>
                <c:ptCount val="1"/>
                <c:pt idx="0">
                  <c:v>India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graph'!$AA$38:$AA$98</c:f>
              <c:numCache>
                <c:formatCode>General</c:formatCode>
                <c:ptCount val="61"/>
                <c:pt idx="46">
                  <c:v>6.55</c:v>
                </c:pt>
                <c:pt idx="49">
                  <c:v>5.99</c:v>
                </c:pt>
                <c:pt idx="50">
                  <c:v>5.9</c:v>
                </c:pt>
                <c:pt idx="51">
                  <c:v>5.84</c:v>
                </c:pt>
                <c:pt idx="52">
                  <c:v>5.84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9-4DD4-4811-B409-2C886CFC1121}"/>
            </c:ext>
          </c:extLst>
        </c:ser>
        <c:ser>
          <c:idx val="26"/>
          <c:order val="26"/>
          <c:tx>
            <c:strRef>
              <c:f>'1_summary econ graph'!$AB$37</c:f>
              <c:strCache>
                <c:ptCount val="1"/>
                <c:pt idx="0">
                  <c:v>Japan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graph'!$AB$38:$AB$98</c:f>
              <c:numCache>
                <c:formatCode>General</c:formatCode>
                <c:ptCount val="61"/>
                <c:pt idx="40">
                  <c:v>7.26</c:v>
                </c:pt>
                <c:pt idx="41">
                  <c:v>6.99</c:v>
                </c:pt>
                <c:pt idx="42">
                  <c:v>6.73</c:v>
                </c:pt>
                <c:pt idx="43">
                  <c:v>6.73</c:v>
                </c:pt>
                <c:pt idx="44">
                  <c:v>6.58</c:v>
                </c:pt>
                <c:pt idx="45">
                  <c:v>6.55</c:v>
                </c:pt>
                <c:pt idx="46">
                  <c:v>6.37</c:v>
                </c:pt>
                <c:pt idx="47">
                  <c:v>6.34</c:v>
                </c:pt>
                <c:pt idx="48">
                  <c:v>6.02</c:v>
                </c:pt>
                <c:pt idx="49">
                  <c:v>5.55</c:v>
                </c:pt>
                <c:pt idx="50">
                  <c:v>5.52</c:v>
                </c:pt>
                <c:pt idx="51">
                  <c:v>5.07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A-4DD4-4811-B409-2C886CFC1121}"/>
            </c:ext>
          </c:extLst>
        </c:ser>
        <c:ser>
          <c:idx val="27"/>
          <c:order val="27"/>
          <c:tx>
            <c:strRef>
              <c:f>'1_summary econ graph'!$AC$37</c:f>
              <c:strCache>
                <c:ptCount val="1"/>
                <c:pt idx="0">
                  <c:v>Brazil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graph'!$AC$38:$AC$98</c:f>
              <c:numCache>
                <c:formatCode>General</c:formatCode>
                <c:ptCount val="61"/>
                <c:pt idx="52">
                  <c:v>7.16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4DD4-4811-B409-2C886CFC1121}"/>
            </c:ext>
          </c:extLst>
        </c:ser>
        <c:ser>
          <c:idx val="28"/>
          <c:order val="28"/>
          <c:tx>
            <c:strRef>
              <c:f>'1_summary econ graph'!$AD$37</c:f>
              <c:strCache>
                <c:ptCount val="1"/>
                <c:pt idx="0">
                  <c:v>Mexico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graph'!$AD$38:$AD$98</c:f>
              <c:numCache>
                <c:formatCode>General</c:formatCode>
                <c:ptCount val="61"/>
                <c:pt idx="48">
                  <c:v>7.96</c:v>
                </c:pt>
                <c:pt idx="49">
                  <c:v>7.73</c:v>
                </c:pt>
                <c:pt idx="50">
                  <c:v>7.61</c:v>
                </c:pt>
                <c:pt idx="51">
                  <c:v>7.37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C-4DD4-4811-B409-2C886CFC1121}"/>
            </c:ext>
          </c:extLst>
        </c:ser>
        <c:ser>
          <c:idx val="29"/>
          <c:order val="29"/>
          <c:tx>
            <c:strRef>
              <c:f>'1_summary econ graph'!$AE$37</c:f>
              <c:strCache>
                <c:ptCount val="1"/>
                <c:pt idx="0">
                  <c:v>China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graph'!$AE$38:$AE$98</c:f>
              <c:numCache>
                <c:formatCode>General</c:formatCode>
                <c:ptCount val="61"/>
                <c:pt idx="42">
                  <c:v>9.0500000000000007</c:v>
                </c:pt>
                <c:pt idx="46">
                  <c:v>7.94</c:v>
                </c:pt>
                <c:pt idx="48">
                  <c:v>7.87</c:v>
                </c:pt>
                <c:pt idx="50">
                  <c:v>7.63</c:v>
                </c:pt>
                <c:pt idx="51">
                  <c:v>7.48</c:v>
                </c:pt>
                <c:pt idx="52">
                  <c:v>7.34</c:v>
                </c:pt>
                <c:pt idx="53">
                  <c:v>7.27</c:v>
                </c:pt>
                <c:pt idx="54">
                  <c:v>7.12</c:v>
                </c:pt>
                <c:pt idx="55">
                  <c:v>6.98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D-4DD4-4811-B409-2C886CFC1121}"/>
            </c:ext>
          </c:extLst>
        </c:ser>
        <c:ser>
          <c:idx val="30"/>
          <c:order val="30"/>
          <c:tx>
            <c:strRef>
              <c:f>'1_summary econ graph'!$AF$37</c:f>
              <c:strCache>
                <c:ptCount val="1"/>
                <c:pt idx="0">
                  <c:v>S.Korea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graph'!$AF$38:$AF$98</c:f>
              <c:numCache>
                <c:formatCode>General</c:formatCode>
                <c:ptCount val="61"/>
                <c:pt idx="43" formatCode="0.00">
                  <c:v>9</c:v>
                </c:pt>
                <c:pt idx="44">
                  <c:v>8.4700000000000006</c:v>
                </c:pt>
                <c:pt idx="45">
                  <c:v>8.3699999999999992</c:v>
                </c:pt>
                <c:pt idx="46">
                  <c:v>8.1300000000000008</c:v>
                </c:pt>
                <c:pt idx="47">
                  <c:v>7.84</c:v>
                </c:pt>
                <c:pt idx="48">
                  <c:v>7.51</c:v>
                </c:pt>
                <c:pt idx="49">
                  <c:v>7.1</c:v>
                </c:pt>
                <c:pt idx="50">
                  <c:v>6.79</c:v>
                </c:pt>
                <c:pt idx="51">
                  <c:v>6.57</c:v>
                </c:pt>
                <c:pt idx="52">
                  <c:v>6.28</c:v>
                </c:pt>
                <c:pt idx="53">
                  <c:v>6.28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E-4DD4-4811-B409-2C886CFC1121}"/>
            </c:ext>
          </c:extLst>
        </c:ser>
        <c:ser>
          <c:idx val="31"/>
          <c:order val="31"/>
          <c:tx>
            <c:strRef>
              <c:f>'1_summary econ graph'!$AG$37</c:f>
              <c:strCache>
                <c:ptCount val="1"/>
                <c:pt idx="0">
                  <c:v>US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graph'!$AG$38:$AG$98</c:f>
              <c:numCache>
                <c:formatCode>General</c:formatCode>
                <c:ptCount val="61"/>
                <c:pt idx="40">
                  <c:v>8.66</c:v>
                </c:pt>
                <c:pt idx="41">
                  <c:v>8.57</c:v>
                </c:pt>
                <c:pt idx="42">
                  <c:v>8.57</c:v>
                </c:pt>
                <c:pt idx="43">
                  <c:v>8.33</c:v>
                </c:pt>
                <c:pt idx="44">
                  <c:v>8.35</c:v>
                </c:pt>
                <c:pt idx="45">
                  <c:v>8.16</c:v>
                </c:pt>
                <c:pt idx="46">
                  <c:v>8.18</c:v>
                </c:pt>
                <c:pt idx="47">
                  <c:v>7.84</c:v>
                </c:pt>
                <c:pt idx="48">
                  <c:v>7.84</c:v>
                </c:pt>
                <c:pt idx="49">
                  <c:v>7.46</c:v>
                </c:pt>
                <c:pt idx="50">
                  <c:v>7.2</c:v>
                </c:pt>
                <c:pt idx="51">
                  <c:v>7.36</c:v>
                </c:pt>
                <c:pt idx="52">
                  <c:v>6.95</c:v>
                </c:pt>
                <c:pt idx="53">
                  <c:v>6.71</c:v>
                </c:pt>
                <c:pt idx="54">
                  <c:v>6.67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F-4DD4-4811-B409-2C886CFC1121}"/>
            </c:ext>
          </c:extLst>
        </c:ser>
        <c:ser>
          <c:idx val="32"/>
          <c:order val="32"/>
          <c:tx>
            <c:strRef>
              <c:f>'1_summary econ graph'!$AH$37</c:f>
              <c:strCache>
                <c:ptCount val="1"/>
                <c:pt idx="0">
                  <c:v>Canada</c:v>
                </c:pt>
              </c:strCache>
            </c:strRef>
          </c:tx>
          <c:spPr>
            <a:ln w="28575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graph'!$AH$38:$AH$98</c:f>
              <c:numCache>
                <c:formatCode>General</c:formatCode>
                <c:ptCount val="61"/>
                <c:pt idx="40">
                  <c:v>8.2100000000000009</c:v>
                </c:pt>
                <c:pt idx="41">
                  <c:v>8.18</c:v>
                </c:pt>
                <c:pt idx="42">
                  <c:v>8.0399999999999991</c:v>
                </c:pt>
                <c:pt idx="43">
                  <c:v>7.94</c:v>
                </c:pt>
                <c:pt idx="44">
                  <c:v>7.84</c:v>
                </c:pt>
                <c:pt idx="45">
                  <c:v>7.7</c:v>
                </c:pt>
                <c:pt idx="46">
                  <c:v>7.8</c:v>
                </c:pt>
                <c:pt idx="47">
                  <c:v>7.48</c:v>
                </c:pt>
                <c:pt idx="48">
                  <c:v>7.41</c:v>
                </c:pt>
                <c:pt idx="49">
                  <c:v>7.05</c:v>
                </c:pt>
                <c:pt idx="50">
                  <c:v>7.03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0-4DD4-4811-B409-2C886CFC1121}"/>
            </c:ext>
          </c:extLst>
        </c:ser>
        <c:ser>
          <c:idx val="33"/>
          <c:order val="33"/>
          <c:tx>
            <c:strRef>
              <c:f>'1_summary econ graph'!$AI$37</c:f>
              <c:strCache>
                <c:ptCount val="1"/>
                <c:pt idx="0">
                  <c:v>EU</c:v>
                </c:pt>
              </c:strCache>
            </c:strRef>
          </c:tx>
          <c:spPr>
            <a:ln w="28575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graph'!$AI$38:$AI$98</c:f>
              <c:numCache>
                <c:formatCode>General</c:formatCode>
                <c:ptCount val="61"/>
                <c:pt idx="40">
                  <c:v>7.29</c:v>
                </c:pt>
                <c:pt idx="41">
                  <c:v>7.17</c:v>
                </c:pt>
                <c:pt idx="42">
                  <c:v>7.07</c:v>
                </c:pt>
                <c:pt idx="43">
                  <c:v>6.98</c:v>
                </c:pt>
                <c:pt idx="44">
                  <c:v>6.91</c:v>
                </c:pt>
                <c:pt idx="45">
                  <c:v>6.91</c:v>
                </c:pt>
                <c:pt idx="46">
                  <c:v>6.76</c:v>
                </c:pt>
                <c:pt idx="47">
                  <c:v>6.76</c:v>
                </c:pt>
                <c:pt idx="48">
                  <c:v>6.47</c:v>
                </c:pt>
                <c:pt idx="49">
                  <c:v>6.16</c:v>
                </c:pt>
                <c:pt idx="50">
                  <c:v>5.97</c:v>
                </c:pt>
                <c:pt idx="51">
                  <c:v>5.73</c:v>
                </c:pt>
                <c:pt idx="52">
                  <c:v>5.61</c:v>
                </c:pt>
                <c:pt idx="53">
                  <c:v>5.34</c:v>
                </c:pt>
                <c:pt idx="54">
                  <c:v>5.17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1-4DD4-4811-B409-2C886CFC1121}"/>
            </c:ext>
          </c:extLst>
        </c:ser>
        <c:ser>
          <c:idx val="34"/>
          <c:order val="34"/>
          <c:tx>
            <c:strRef>
              <c:f>'1_summary econ graph'!$AJ$37</c:f>
              <c:strCache>
                <c:ptCount val="1"/>
                <c:pt idx="0">
                  <c:v>India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graph'!$AJ$38:$AJ$98</c:f>
              <c:numCache>
                <c:formatCode>General</c:formatCode>
                <c:ptCount val="61"/>
                <c:pt idx="46">
                  <c:v>6.43</c:v>
                </c:pt>
                <c:pt idx="49">
                  <c:v>6.02</c:v>
                </c:pt>
                <c:pt idx="50">
                  <c:v>5.85</c:v>
                </c:pt>
                <c:pt idx="51">
                  <c:v>5.73</c:v>
                </c:pt>
                <c:pt idx="52">
                  <c:v>5.8</c:v>
                </c:pt>
                <c:pt idx="55">
                  <c:v>5.25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2-4DD4-4811-B409-2C886CFC1121}"/>
            </c:ext>
          </c:extLst>
        </c:ser>
        <c:ser>
          <c:idx val="35"/>
          <c:order val="35"/>
          <c:tx>
            <c:strRef>
              <c:f>'1_summary econ graph'!$AK$37</c:f>
              <c:strCache>
                <c:ptCount val="1"/>
                <c:pt idx="0">
                  <c:v>Japan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graph'!$AK$38:$AK$98</c:f>
              <c:numCache>
                <c:formatCode>General</c:formatCode>
                <c:ptCount val="61"/>
                <c:pt idx="40">
                  <c:v>7.97</c:v>
                </c:pt>
                <c:pt idx="41">
                  <c:v>7.72</c:v>
                </c:pt>
                <c:pt idx="42">
                  <c:v>7.46</c:v>
                </c:pt>
                <c:pt idx="43">
                  <c:v>7.36</c:v>
                </c:pt>
                <c:pt idx="44">
                  <c:v>7.24</c:v>
                </c:pt>
                <c:pt idx="45">
                  <c:v>7.2</c:v>
                </c:pt>
                <c:pt idx="46">
                  <c:v>7.07</c:v>
                </c:pt>
                <c:pt idx="47">
                  <c:v>6.98</c:v>
                </c:pt>
                <c:pt idx="48">
                  <c:v>6.71</c:v>
                </c:pt>
                <c:pt idx="49">
                  <c:v>6.21</c:v>
                </c:pt>
                <c:pt idx="50">
                  <c:v>6.14</c:v>
                </c:pt>
                <c:pt idx="51">
                  <c:v>5.75</c:v>
                </c:pt>
                <c:pt idx="52">
                  <c:v>5.39</c:v>
                </c:pt>
                <c:pt idx="53">
                  <c:v>5.01</c:v>
                </c:pt>
                <c:pt idx="54">
                  <c:v>4.8899999999999997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3-4DD4-4811-B409-2C886CFC1121}"/>
            </c:ext>
          </c:extLst>
        </c:ser>
        <c:ser>
          <c:idx val="36"/>
          <c:order val="36"/>
          <c:tx>
            <c:strRef>
              <c:f>'1_summary econ graph'!$AL$37</c:f>
              <c:strCache>
                <c:ptCount val="1"/>
                <c:pt idx="0">
                  <c:v>Mexico</c:v>
                </c:pt>
              </c:strCache>
            </c:strRef>
          </c:tx>
          <c:spPr>
            <a:ln w="28575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graph'!$AL$38:$AL$98</c:f>
              <c:numCache>
                <c:formatCode>General</c:formatCode>
                <c:ptCount val="61"/>
                <c:pt idx="48">
                  <c:v>7.44</c:v>
                </c:pt>
                <c:pt idx="49">
                  <c:v>7.29</c:v>
                </c:pt>
                <c:pt idx="50">
                  <c:v>7.07</c:v>
                </c:pt>
                <c:pt idx="51">
                  <c:v>6.88</c:v>
                </c:pt>
                <c:pt idx="53">
                  <c:v>6.4</c:v>
                </c:pt>
                <c:pt idx="54">
                  <c:v>6.21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4-4DD4-4811-B409-2C886CFC1121}"/>
            </c:ext>
          </c:extLst>
        </c:ser>
        <c:ser>
          <c:idx val="37"/>
          <c:order val="37"/>
          <c:tx>
            <c:strRef>
              <c:f>'1_summary econ graph'!$AM$37</c:f>
              <c:strCache>
                <c:ptCount val="1"/>
                <c:pt idx="0">
                  <c:v>Brazil</c:v>
                </c:pt>
              </c:strCache>
            </c:strRef>
          </c:tx>
          <c:spPr>
            <a:ln w="28575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graph'!$AM$38:$AM$98</c:f>
              <c:numCache>
                <c:formatCode>General</c:formatCode>
                <c:ptCount val="61"/>
                <c:pt idx="52">
                  <c:v>6.74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5-4DD4-4811-B409-2C886CFC1121}"/>
            </c:ext>
          </c:extLst>
        </c:ser>
        <c:ser>
          <c:idx val="38"/>
          <c:order val="38"/>
          <c:tx>
            <c:strRef>
              <c:f>'1_summary econ graph'!$AN$37</c:f>
              <c:strCache>
                <c:ptCount val="1"/>
                <c:pt idx="0">
                  <c:v>KSA</c:v>
                </c:pt>
              </c:strCache>
            </c:strRef>
          </c:tx>
          <c:spPr>
            <a:ln w="28575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'1_summary econ graph'!$A$38:$A$98</c:f>
              <c:numCache>
                <c:formatCode>General</c:formatCode>
                <c:ptCount val="6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</c:numCache>
            </c:numRef>
          </c:cat>
          <c:val>
            <c:numRef>
              <c:f>'1_summary econ graph'!$AN$38:$AN$98</c:f>
              <c:numCache>
                <c:formatCode>General</c:formatCode>
                <c:ptCount val="61"/>
                <c:pt idx="52">
                  <c:v>6.74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2F1-436A-B000-B57B3DAB15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00147552"/>
        <c:axId val="500146240"/>
      </c:lineChart>
      <c:catAx>
        <c:axId val="50014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146240"/>
        <c:crosses val="autoZero"/>
        <c:auto val="1"/>
        <c:lblAlgn val="ctr"/>
        <c:lblOffset val="100"/>
        <c:noMultiLvlLbl val="0"/>
      </c:catAx>
      <c:valAx>
        <c:axId val="500146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147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802563087435301"/>
          <c:y val="2.2634036942565276E-2"/>
          <c:w val="0.14321836707241153"/>
          <c:h val="0.8399730191068773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Light</a:t>
            </a:r>
            <a:r>
              <a:rPr lang="en-GB" baseline="0"/>
              <a:t> duty vehicle (LDV) fuel economy (mpUKg) vs f-u exergy efficiency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0767807455897505E-2"/>
          <c:y val="0.12991243432574431"/>
          <c:w val="0.55698053621013555"/>
          <c:h val="0.78883268750775681"/>
        </c:manualLayout>
      </c:layout>
      <c:lineChart>
        <c:grouping val="standard"/>
        <c:varyColors val="0"/>
        <c:ser>
          <c:idx val="0"/>
          <c:order val="0"/>
          <c:tx>
            <c:strRef>
              <c:f>'1_LDV calcs'!$C$30</c:f>
              <c:strCache>
                <c:ptCount val="1"/>
                <c:pt idx="0">
                  <c:v>petrol exergy efficiency, y = 35(1-e^-0.01x)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calcs'!$D$30:$BB$30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1.7069701424750096E-2</c:v>
                </c:pt>
                <c:pt idx="3" formatCode="0.0%">
                  <c:v>3.3306903687414166E-2</c:v>
                </c:pt>
                <c:pt idx="4" formatCode="0.0%">
                  <c:v>4.8752208251229764E-2</c:v>
                </c:pt>
                <c:pt idx="5" formatCode="0.0%">
                  <c:v>6.3444236422706371E-2</c:v>
                </c:pt>
                <c:pt idx="6" formatCode="0.0%">
                  <c:v>7.7419725925008287E-2</c:v>
                </c:pt>
                <c:pt idx="7" formatCode="0.0%">
                  <c:v>9.0713622761398743E-2</c:v>
                </c:pt>
                <c:pt idx="8" formatCode="0.0%">
                  <c:v>0.1033591685984503</c:v>
                </c:pt>
                <c:pt idx="9" formatCode="0.0%">
                  <c:v>0.11538798388752623</c:v>
                </c:pt>
                <c:pt idx="10" formatCode="0.0%">
                  <c:v>0.12683014693237932</c:v>
                </c:pt>
                <c:pt idx="11" formatCode="0.0%">
                  <c:v>0.1377142691005783</c:v>
                </c:pt>
                <c:pt idx="12" formatCode="0.0%">
                  <c:v>0.14806756636682969</c:v>
                </c:pt>
                <c:pt idx="13" formatCode="0.0%">
                  <c:v>0.15791592736709076</c:v>
                </c:pt>
                <c:pt idx="14" formatCode="0.0%">
                  <c:v>0.16728397813364437</c:v>
                </c:pt>
                <c:pt idx="15" formatCode="0.0%">
                  <c:v>0.1761951436730067</c:v>
                </c:pt>
                <c:pt idx="16" formatCode="0.0%">
                  <c:v>0.18467170654064485</c:v>
                </c:pt>
                <c:pt idx="17" formatCode="0.0%">
                  <c:v>0.19273486255897246</c:v>
                </c:pt>
                <c:pt idx="18" formatCode="0.0%">
                  <c:v>0.20040477381794566</c:v>
                </c:pt>
                <c:pt idx="19" formatCode="0.0%">
                  <c:v>0.20770061909079032</c:v>
                </c:pt>
                <c:pt idx="20" formatCode="0.0%">
                  <c:v>0.21464064179092457</c:v>
                </c:pt>
                <c:pt idx="21" formatCode="0.0%">
                  <c:v>0.22124219558999517</c:v>
                </c:pt>
                <c:pt idx="22" formatCode="0.0%">
                  <c:v>0.22752178781109567</c:v>
                </c:pt>
                <c:pt idx="23" formatCode="0.0%">
                  <c:v>0.23349512070567219</c:v>
                </c:pt>
                <c:pt idx="24" formatCode="0.0%">
                  <c:v>0.2391771307173314</c:v>
                </c:pt>
                <c:pt idx="25" formatCode="0.0%">
                  <c:v>0.24458202583072924</c:v>
                </c:pt>
                <c:pt idx="26" formatCode="0.0%">
                  <c:v>0.24972332109893344</c:v>
                </c:pt>
                <c:pt idx="27" formatCode="0.0%">
                  <c:v>0.25461387243809563</c:v>
                </c:pt>
                <c:pt idx="28" formatCode="0.0%">
                  <c:v>0.25926590877393801</c:v>
                </c:pt>
                <c:pt idx="29" formatCode="0.0%">
                  <c:v>0.26369106262043773</c:v>
                </c:pt>
                <c:pt idx="30" formatCode="0.0%">
                  <c:v>0.26790039916717079</c:v>
                </c:pt>
                <c:pt idx="31" formatCode="0.0%">
                  <c:v>0.27190444394804958</c:v>
                </c:pt>
                <c:pt idx="32" formatCode="0.0%">
                  <c:v>0.2757132091606399</c:v>
                </c:pt>
                <c:pt idx="33" formatCode="0.0%">
                  <c:v>0.27933621870187064</c:v>
                </c:pt>
                <c:pt idx="34" formatCode="0.0%">
                  <c:v>0.28278253198273606</c:v>
                </c:pt>
                <c:pt idx="35" formatCode="0.0%">
                  <c:v>0.28606076658154289</c:v>
                </c:pt>
                <c:pt idx="36" formatCode="0.0%">
                  <c:v>0.28917911979234417</c:v>
                </c:pt>
                <c:pt idx="37" formatCode="0.0%">
                  <c:v>0.2921453891224447</c:v>
                </c:pt>
                <c:pt idx="38" formatCode="0.0%">
                  <c:v>0.29496699179023034</c:v>
                </c:pt>
                <c:pt idx="39" formatCode="0.0%">
                  <c:v>0.29765098327207773</c:v>
                </c:pt>
                <c:pt idx="40" formatCode="0.0%">
                  <c:v>0.30020407494472023</c:v>
                </c:pt>
                <c:pt idx="41" formatCode="0.0%">
                  <c:v>0.30263265086718555</c:v>
                </c:pt>
                <c:pt idx="42" formatCode="0.0%">
                  <c:v>0.30494278374426853</c:v>
                </c:pt>
                <c:pt idx="43" formatCode="0.0%">
                  <c:v>0.30714025011145635</c:v>
                </c:pt>
                <c:pt idx="44" formatCode="0.0%">
                  <c:v>0.30923054477927608</c:v>
                </c:pt>
                <c:pt idx="45" formatCode="0.0%">
                  <c:v>0.31121889457318314</c:v>
                </c:pt>
                <c:pt idx="46" formatCode="0.0%">
                  <c:v>0.31311027140334746</c:v>
                </c:pt>
                <c:pt idx="47" formatCode="0.0%">
                  <c:v>0.31490940469701872</c:v>
                </c:pt>
                <c:pt idx="48" formatCode="0.0%">
                  <c:v>0.31662079322455766</c:v>
                </c:pt>
                <c:pt idx="49" formatCode="0.0%">
                  <c:v>0.31824871634870566</c:v>
                </c:pt>
                <c:pt idx="50" formatCode="0.0%">
                  <c:v>0.31979724472522031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4EB-47F5-A3AF-D1CD7145ABD0}"/>
            </c:ext>
          </c:extLst>
        </c:ser>
        <c:ser>
          <c:idx val="1"/>
          <c:order val="1"/>
          <c:tx>
            <c:strRef>
              <c:f>'1_LDV calcs'!$C$31</c:f>
              <c:strCache>
                <c:ptCount val="1"/>
                <c:pt idx="0">
                  <c:v>petrol exergy efficiency, y = 35(1-e^-0.02x)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calcs'!$D$31:$BB$31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3.3306903687414166E-2</c:v>
                </c:pt>
                <c:pt idx="3" formatCode="0.0%">
                  <c:v>6.3444236422706371E-2</c:v>
                </c:pt>
                <c:pt idx="4" formatCode="0.0%">
                  <c:v>9.0713622761398743E-2</c:v>
                </c:pt>
                <c:pt idx="5" formatCode="0.0%">
                  <c:v>0.11538798388752623</c:v>
                </c:pt>
                <c:pt idx="6" formatCode="0.0%">
                  <c:v>0.1377142691005783</c:v>
                </c:pt>
                <c:pt idx="7" formatCode="0.0%">
                  <c:v>0.15791592736709076</c:v>
                </c:pt>
                <c:pt idx="8" formatCode="0.0%">
                  <c:v>0.1761951436730067</c:v>
                </c:pt>
                <c:pt idx="9" formatCode="0.0%">
                  <c:v>0.19273486255897246</c:v>
                </c:pt>
                <c:pt idx="10" formatCode="0.0%">
                  <c:v>0.20770061909079032</c:v>
                </c:pt>
                <c:pt idx="11" formatCode="0.0%">
                  <c:v>0.22124219558999517</c:v>
                </c:pt>
                <c:pt idx="12" formatCode="0.0%">
                  <c:v>0.23349512070567219</c:v>
                </c:pt>
                <c:pt idx="13" formatCode="0.0%">
                  <c:v>0.24458202583072924</c:v>
                </c:pt>
                <c:pt idx="14" formatCode="0.0%">
                  <c:v>0.25461387243809563</c:v>
                </c:pt>
                <c:pt idx="15" formatCode="0.0%">
                  <c:v>0.26369106262043773</c:v>
                </c:pt>
                <c:pt idx="16" formatCode="0.0%">
                  <c:v>0.27190444394804958</c:v>
                </c:pt>
                <c:pt idx="17" formatCode="0.0%">
                  <c:v>0.27933621870187064</c:v>
                </c:pt>
                <c:pt idx="18" formatCode="0.0%">
                  <c:v>0.28606076658154289</c:v>
                </c:pt>
                <c:pt idx="19" formatCode="0.0%">
                  <c:v>0.2921453891224447</c:v>
                </c:pt>
                <c:pt idx="20" formatCode="0.0%">
                  <c:v>0.29765098327207773</c:v>
                </c:pt>
                <c:pt idx="21" formatCode="0.0%">
                  <c:v>0.30263265086718555</c:v>
                </c:pt>
                <c:pt idx="22" formatCode="0.0%">
                  <c:v>0.30714025011145635</c:v>
                </c:pt>
                <c:pt idx="23" formatCode="0.0%">
                  <c:v>0.31121889457318314</c:v>
                </c:pt>
                <c:pt idx="24" formatCode="0.0%">
                  <c:v>0.31490940469701872</c:v>
                </c:pt>
                <c:pt idx="25" formatCode="0.0%">
                  <c:v>0.31824871634870566</c:v>
                </c:pt>
                <c:pt idx="26" formatCode="0.0%">
                  <c:v>0.32127025048163538</c:v>
                </c:pt>
                <c:pt idx="27" formatCode="0.0%">
                  <c:v>0.32400424762498309</c:v>
                </c:pt>
                <c:pt idx="28" formatCode="0.0%">
                  <c:v>0.32647807054108763</c:v>
                </c:pt>
                <c:pt idx="29" formatCode="0.0%">
                  <c:v>0.32871647808117371</c:v>
                </c:pt>
                <c:pt idx="30" formatCode="0.0%">
                  <c:v>0.33074187298025748</c:v>
                </c:pt>
                <c:pt idx="31" formatCode="0.0%">
                  <c:v>0.3325745260712476</c:v>
                </c:pt>
                <c:pt idx="32" formatCode="0.0%">
                  <c:v>0.3342327791622548</c:v>
                </c:pt>
                <c:pt idx="33" formatCode="0.0%">
                  <c:v>0.33573322860757188</c:v>
                </c:pt>
                <c:pt idx="34" formatCode="0.0%">
                  <c:v>0.337090891409566</c:v>
                </c:pt>
                <c:pt idx="35" formatCode="0.0%">
                  <c:v>0.33831935551388592</c:v>
                </c:pt>
                <c:pt idx="36" formatCode="0.0%">
                  <c:v>0.33943091580218854</c:v>
                </c:pt>
                <c:pt idx="37" formatCode="0.0%">
                  <c:v>0.3404366971434476</c:v>
                </c:pt>
                <c:pt idx="38" formatCode="0.0%">
                  <c:v>0.34134676573538125</c:v>
                </c:pt>
                <c:pt idx="39" formatCode="0.0%">
                  <c:v>0.34217022985034207</c:v>
                </c:pt>
                <c:pt idx="40" formatCode="0.0%">
                  <c:v>0.34291533099396854</c:v>
                </c:pt>
                <c:pt idx="41" formatCode="0.0%">
                  <c:v>0.34358952638894302</c:v>
                </c:pt>
                <c:pt idx="42" formatCode="0.0%">
                  <c:v>0.34419956360938359</c:v>
                </c:pt>
                <c:pt idx="43" formatCode="0.0%">
                  <c:v>0.34475154811283282</c:v>
                </c:pt>
                <c:pt idx="44" formatCode="0.0%">
                  <c:v>0.3452510043457297</c:v>
                </c:pt>
                <c:pt idx="45" formatCode="0.0%">
                  <c:v>0.34570293103392602</c:v>
                </c:pt>
                <c:pt idx="46" formatCode="0.0%">
                  <c:v>0.3461118512116152</c:v>
                </c:pt>
                <c:pt idx="47" formatCode="0.0%">
                  <c:v>0.34648185748937826</c:v>
                </c:pt>
                <c:pt idx="48" formatCode="0.0%">
                  <c:v>0.34681665301440645</c:v>
                </c:pt>
                <c:pt idx="49" formatCode="0.0%">
                  <c:v>0.34711958853284303</c:v>
                </c:pt>
                <c:pt idx="50" formatCode="0.0%">
                  <c:v>0.34739369592517649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4EB-47F5-A3AF-D1CD7145ABD0}"/>
            </c:ext>
          </c:extLst>
        </c:ser>
        <c:ser>
          <c:idx val="6"/>
          <c:order val="2"/>
          <c:tx>
            <c:strRef>
              <c:f>'1_LDV calcs'!$B$32:$D$32</c:f>
              <c:strCache>
                <c:ptCount val="3"/>
                <c:pt idx="1">
                  <c:v>petrol exergy efficiency, y = 35(1-e^-0.025x)</c:v>
                </c:pt>
                <c:pt idx="2">
                  <c:v>y2</c:v>
                </c:pt>
              </c:strCache>
            </c:strRef>
          </c:tx>
          <c:spPr>
            <a:ln w="28575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val>
            <c:numRef>
              <c:f>'1_LDV calcs'!$E$32:$BB$32</c:f>
              <c:numCache>
                <c:formatCode>0.0%</c:formatCode>
                <c:ptCount val="50"/>
                <c:pt idx="0" formatCode="General">
                  <c:v>0</c:v>
                </c:pt>
                <c:pt idx="1">
                  <c:v>4.1126084095391591E-2</c:v>
                </c:pt>
                <c:pt idx="2">
                  <c:v>7.7419725925008287E-2</c:v>
                </c:pt>
                <c:pt idx="3">
                  <c:v>0.10944875242315971</c:v>
                </c:pt>
                <c:pt idx="4">
                  <c:v>0.1377142691005783</c:v>
                </c:pt>
                <c:pt idx="5">
                  <c:v>0.16265850001835339</c:v>
                </c:pt>
                <c:pt idx="6">
                  <c:v>0.18467170654064485</c:v>
                </c:pt>
                <c:pt idx="7">
                  <c:v>0.20409829311252203</c:v>
                </c:pt>
                <c:pt idx="8">
                  <c:v>0.22124219558999517</c:v>
                </c:pt>
                <c:pt idx="9">
                  <c:v>0.23637163642457756</c:v>
                </c:pt>
                <c:pt idx="10">
                  <c:v>0.24972332109893344</c:v>
                </c:pt>
                <c:pt idx="11">
                  <c:v>0.26150614146833873</c:v>
                </c:pt>
                <c:pt idx="12">
                  <c:v>0.27190444394804958</c:v>
                </c:pt>
                <c:pt idx="13">
                  <c:v>0.28108091367853211</c:v>
                </c:pt>
                <c:pt idx="14">
                  <c:v>0.28917911979234417</c:v>
                </c:pt>
                <c:pt idx="15">
                  <c:v>0.29632576160427504</c:v>
                </c:pt>
                <c:pt idx="16">
                  <c:v>0.30263265086718555</c:v>
                </c:pt>
                <c:pt idx="17">
                  <c:v>0.30819846110664811</c:v>
                </c:pt>
                <c:pt idx="18">
                  <c:v>0.31311027140334746</c:v>
                </c:pt>
                <c:pt idx="19">
                  <c:v>0.31744492877626779</c:v>
                </c:pt>
                <c:pt idx="20">
                  <c:v>0.32127025048163538</c:v>
                </c:pt>
                <c:pt idx="21">
                  <c:v>0.32464608503801201</c:v>
                </c:pt>
                <c:pt idx="22">
                  <c:v>0.32762524857765235</c:v>
                </c:pt>
                <c:pt idx="23">
                  <c:v>0.33025435117367791</c:v>
                </c:pt>
                <c:pt idx="24">
                  <c:v>0.3325745260712476</c:v>
                </c:pt>
                <c:pt idx="25">
                  <c:v>0.33462207323180743</c:v>
                </c:pt>
                <c:pt idx="26">
                  <c:v>0.33642902725889728</c:v>
                </c:pt>
                <c:pt idx="27">
                  <c:v>0.33802365859091693</c:v>
                </c:pt>
                <c:pt idx="28">
                  <c:v>0.33943091580218854</c:v>
                </c:pt>
                <c:pt idx="29">
                  <c:v>0.34067281593227561</c:v>
                </c:pt>
                <c:pt idx="30">
                  <c:v>0.34176878895039686</c:v>
                </c:pt>
                <c:pt idx="31">
                  <c:v>0.34273598174420505</c:v>
                </c:pt>
                <c:pt idx="32">
                  <c:v>0.34358952638894302</c:v>
                </c:pt>
                <c:pt idx="33">
                  <c:v>0.34434277689414194</c:v>
                </c:pt>
                <c:pt idx="34">
                  <c:v>0.34500751813185027</c:v>
                </c:pt>
                <c:pt idx="35">
                  <c:v>0.34559415021514811</c:v>
                </c:pt>
                <c:pt idx="36">
                  <c:v>0.3461118512116152</c:v>
                </c:pt>
                <c:pt idx="37">
                  <c:v>0.34656872073746237</c:v>
                </c:pt>
                <c:pt idx="38">
                  <c:v>0.34697190667890782</c:v>
                </c:pt>
                <c:pt idx="39">
                  <c:v>0.34732771702339904</c:v>
                </c:pt>
                <c:pt idx="40">
                  <c:v>0.34764171855032011</c:v>
                </c:pt>
                <c:pt idx="41">
                  <c:v>0.34791882392523477</c:v>
                </c:pt>
                <c:pt idx="42">
                  <c:v>0.34816336856028657</c:v>
                </c:pt>
                <c:pt idx="43">
                  <c:v>0.34837917844326333</c:v>
                </c:pt>
                <c:pt idx="44">
                  <c:v>0.34856962999653762</c:v>
                </c:pt>
                <c:pt idx="45">
                  <c:v>0.34873770290239448</c:v>
                </c:pt>
                <c:pt idx="46">
                  <c:v>0.3488860267212216</c:v>
                </c:pt>
                <c:pt idx="47">
                  <c:v>0.34901692203191609</c:v>
                </c:pt>
                <c:pt idx="48">
                  <c:v>0.3491324367381668</c:v>
                </c:pt>
                <c:pt idx="49">
                  <c:v>0.34923437810863606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4EB-47F5-A3AF-D1CD7145ABD0}"/>
            </c:ext>
          </c:extLst>
        </c:ser>
        <c:ser>
          <c:idx val="2"/>
          <c:order val="3"/>
          <c:tx>
            <c:strRef>
              <c:f>'1_LDV calcs'!$C$33</c:f>
              <c:strCache>
                <c:ptCount val="1"/>
                <c:pt idx="0">
                  <c:v>petrol exergy efficiency, y = 35(1-e^-0.03x)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calcs'!$D$33:$BB$33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4.8752208251229764E-2</c:v>
                </c:pt>
                <c:pt idx="3" formatCode="0.0%">
                  <c:v>9.0713622761398743E-2</c:v>
                </c:pt>
                <c:pt idx="4" formatCode="0.0%">
                  <c:v>0.12683014693237932</c:v>
                </c:pt>
                <c:pt idx="5" formatCode="0.0%">
                  <c:v>0.15791592736709076</c:v>
                </c:pt>
                <c:pt idx="6" formatCode="0.0%">
                  <c:v>0.18467170654064485</c:v>
                </c:pt>
                <c:pt idx="7" formatCode="0.0%">
                  <c:v>0.20770061909079027</c:v>
                </c:pt>
                <c:pt idx="8" formatCode="0.0%">
                  <c:v>0.22752178781109567</c:v>
                </c:pt>
                <c:pt idx="9" formatCode="0.0%">
                  <c:v>0.24458202583072924</c:v>
                </c:pt>
                <c:pt idx="10" formatCode="0.0%">
                  <c:v>0.25926590877393796</c:v>
                </c:pt>
                <c:pt idx="11" formatCode="0.0%">
                  <c:v>0.27190444394804958</c:v>
                </c:pt>
                <c:pt idx="12" formatCode="0.0%">
                  <c:v>0.28278253198273606</c:v>
                </c:pt>
                <c:pt idx="13" formatCode="0.0%">
                  <c:v>0.2921453891224447</c:v>
                </c:pt>
                <c:pt idx="14" formatCode="0.0%">
                  <c:v>0.30020407494472023</c:v>
                </c:pt>
                <c:pt idx="15" formatCode="0.0%">
                  <c:v>0.30714025011145635</c:v>
                </c:pt>
                <c:pt idx="16" formatCode="0.0%">
                  <c:v>0.31311027140334746</c:v>
                </c:pt>
                <c:pt idx="17" formatCode="0.0%">
                  <c:v>0.31824871634870566</c:v>
                </c:pt>
                <c:pt idx="18" formatCode="0.0%">
                  <c:v>0.32267141689959639</c:v>
                </c:pt>
                <c:pt idx="19" formatCode="0.0%">
                  <c:v>0.32647807054108763</c:v>
                </c:pt>
                <c:pt idx="20" formatCode="0.0%">
                  <c:v>0.32975448769380655</c:v>
                </c:pt>
                <c:pt idx="21" formatCode="0.0%">
                  <c:v>0.3325745260712476</c:v>
                </c:pt>
                <c:pt idx="22" formatCode="0.0%">
                  <c:v>0.33500175559653589</c:v>
                </c:pt>
                <c:pt idx="23" formatCode="0.0%">
                  <c:v>0.337090891409566</c:v>
                </c:pt>
                <c:pt idx="24" formatCode="0.0%">
                  <c:v>0.33888902726767628</c:v>
                </c:pt>
                <c:pt idx="25" formatCode="0.0%">
                  <c:v>0.3404366971434476</c:v>
                </c:pt>
                <c:pt idx="26" formatCode="0.0%">
                  <c:v>0.34176878895039686</c:v>
                </c:pt>
                <c:pt idx="27" formatCode="0.0%">
                  <c:v>0.34291533099396854</c:v>
                </c:pt>
                <c:pt idx="28" formatCode="0.0%">
                  <c:v>0.34390216887617725</c:v>
                </c:pt>
                <c:pt idx="29" formatCode="0.0%">
                  <c:v>0.34475154811283282</c:v>
                </c:pt>
                <c:pt idx="30" formatCode="0.0%">
                  <c:v>0.34548261559683202</c:v>
                </c:pt>
                <c:pt idx="31" formatCode="0.0%">
                  <c:v>0.3461118512116152</c:v>
                </c:pt>
                <c:pt idx="32" formatCode="0.0%">
                  <c:v>0.34665343932430981</c:v>
                </c:pt>
                <c:pt idx="33" formatCode="0.0%">
                  <c:v>0.34711958853284303</c:v>
                </c:pt>
                <c:pt idx="34" formatCode="0.0%">
                  <c:v>0.34752080687483172</c:v>
                </c:pt>
                <c:pt idx="35" formatCode="0.0%">
                  <c:v>0.34786613870206956</c:v>
                </c:pt>
                <c:pt idx="36" formatCode="0.0%">
                  <c:v>0.34816336856028657</c:v>
                </c:pt>
                <c:pt idx="37" formatCode="0.0%">
                  <c:v>0.34841919667008553</c:v>
                </c:pt>
                <c:pt idx="38" formatCode="0.0%">
                  <c:v>0.34863938996478333</c:v>
                </c:pt>
                <c:pt idx="39" formatCode="0.0%">
                  <c:v>0.34882891208988503</c:v>
                </c:pt>
                <c:pt idx="40" formatCode="0.0%">
                  <c:v>0.3489920352946691</c:v>
                </c:pt>
                <c:pt idx="41" formatCode="0.0%">
                  <c:v>0.3491324367381668</c:v>
                </c:pt>
                <c:pt idx="42" formatCode="0.0%">
                  <c:v>0.34925328138048684</c:v>
                </c:pt>
                <c:pt idx="43" formatCode="0.0%">
                  <c:v>0.34935729332803989</c:v>
                </c:pt>
                <c:pt idx="44" formatCode="0.0%">
                  <c:v>0.34944681724094229</c:v>
                </c:pt>
                <c:pt idx="45" formatCode="0.0%">
                  <c:v>0.34952387118685818</c:v>
                </c:pt>
                <c:pt idx="46" formatCode="0.0%">
                  <c:v>0.34959019213272308</c:v>
                </c:pt>
                <c:pt idx="47" formatCode="0.0%">
                  <c:v>0.34964727509983295</c:v>
                </c:pt>
                <c:pt idx="48" formatCode="0.0%">
                  <c:v>0.34969640686494258</c:v>
                </c:pt>
                <c:pt idx="49" formatCode="0.0%">
                  <c:v>0.34973869496706811</c:v>
                </c:pt>
                <c:pt idx="50" formatCode="0.0%">
                  <c:v>0.34977509267387552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4EB-47F5-A3AF-D1CD7145ABD0}"/>
            </c:ext>
          </c:extLst>
        </c:ser>
        <c:ser>
          <c:idx val="3"/>
          <c:order val="4"/>
          <c:tx>
            <c:strRef>
              <c:f>'1_LDV calcs'!$C$34</c:f>
              <c:strCache>
                <c:ptCount val="1"/>
                <c:pt idx="0">
                  <c:v>petrol exergy efficiency, y = 35(1-e^-0.04x)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calcs'!$D$34:$BB$34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6.3444236422706371E-2</c:v>
                </c:pt>
                <c:pt idx="3" formatCode="0.0%">
                  <c:v>0.11538798388752623</c:v>
                </c:pt>
                <c:pt idx="4" formatCode="0.0%">
                  <c:v>0.15791592736709076</c:v>
                </c:pt>
                <c:pt idx="5" formatCode="0.0%">
                  <c:v>0.19273486255897246</c:v>
                </c:pt>
                <c:pt idx="6" formatCode="0.0%">
                  <c:v>0.22124219558999517</c:v>
                </c:pt>
                <c:pt idx="7" formatCode="0.0%">
                  <c:v>0.24458202583072924</c:v>
                </c:pt>
                <c:pt idx="8" formatCode="0.0%">
                  <c:v>0.26369106262043773</c:v>
                </c:pt>
                <c:pt idx="9" formatCode="0.0%">
                  <c:v>0.27933621870187064</c:v>
                </c:pt>
                <c:pt idx="10" formatCode="0.0%">
                  <c:v>0.2921453891224447</c:v>
                </c:pt>
                <c:pt idx="11" formatCode="0.0%">
                  <c:v>0.30263265086718555</c:v>
                </c:pt>
                <c:pt idx="12" formatCode="0.0%">
                  <c:v>0.31121889457318314</c:v>
                </c:pt>
                <c:pt idx="13" formatCode="0.0%">
                  <c:v>0.31824871634870566</c:v>
                </c:pt>
                <c:pt idx="14" formatCode="0.0%">
                  <c:v>0.32400424762498309</c:v>
                </c:pt>
                <c:pt idx="15" formatCode="0.0%">
                  <c:v>0.32871647808117371</c:v>
                </c:pt>
                <c:pt idx="16" formatCode="0.0%">
                  <c:v>0.3325745260712476</c:v>
                </c:pt>
                <c:pt idx="17" formatCode="0.0%">
                  <c:v>0.33573322860757188</c:v>
                </c:pt>
                <c:pt idx="18" formatCode="0.0%">
                  <c:v>0.33831935551388592</c:v>
                </c:pt>
                <c:pt idx="19" formatCode="0.0%">
                  <c:v>0.3404366971434476</c:v>
                </c:pt>
                <c:pt idx="20" formatCode="0.0%">
                  <c:v>0.34217022985034207</c:v>
                </c:pt>
                <c:pt idx="21" formatCode="0.0%">
                  <c:v>0.34358952638894302</c:v>
                </c:pt>
                <c:pt idx="22" formatCode="0.0%">
                  <c:v>0.34475154811283282</c:v>
                </c:pt>
                <c:pt idx="23" formatCode="0.0%">
                  <c:v>0.34570293103392602</c:v>
                </c:pt>
                <c:pt idx="24" formatCode="0.0%">
                  <c:v>0.34648185748937826</c:v>
                </c:pt>
                <c:pt idx="25" formatCode="0.0%">
                  <c:v>0.34711958853284303</c:v>
                </c:pt>
                <c:pt idx="26" formatCode="0.0%">
                  <c:v>0.34764171855032011</c:v>
                </c:pt>
                <c:pt idx="27" formatCode="0.0%">
                  <c:v>0.34806920245273376</c:v>
                </c:pt>
                <c:pt idx="28" formatCode="0.0%">
                  <c:v>0.34841919667008553</c:v>
                </c:pt>
                <c:pt idx="29" formatCode="0.0%">
                  <c:v>0.34870574769923096</c:v>
                </c:pt>
                <c:pt idx="30" formatCode="0.0%">
                  <c:v>0.34894035583911842</c:v>
                </c:pt>
                <c:pt idx="31" formatCode="0.0%">
                  <c:v>0.3491324367381668</c:v>
                </c:pt>
                <c:pt idx="32" formatCode="0.0%">
                  <c:v>0.34928969927729653</c:v>
                </c:pt>
                <c:pt idx="33" formatCode="0.0%">
                  <c:v>0.34941845495438911</c:v>
                </c:pt>
                <c:pt idx="34" formatCode="0.0%">
                  <c:v>0.34952387118685818</c:v>
                </c:pt>
                <c:pt idx="35" formatCode="0.0%">
                  <c:v>0.34961017869825434</c:v>
                </c:pt>
                <c:pt idx="36" formatCode="0.0%">
                  <c:v>0.34968084131205596</c:v>
                </c:pt>
                <c:pt idx="37" formatCode="0.0%">
                  <c:v>0.34973869496706811</c:v>
                </c:pt>
                <c:pt idx="38" formatCode="0.0%">
                  <c:v>0.34978606153360464</c:v>
                </c:pt>
                <c:pt idx="39" formatCode="0.0%">
                  <c:v>0.34982484199829578</c:v>
                </c:pt>
                <c:pt idx="40" formatCode="0.0%">
                  <c:v>0.34985659275735709</c:v>
                </c:pt>
                <c:pt idx="41" formatCode="0.0%">
                  <c:v>0.34988258808023409</c:v>
                </c:pt>
                <c:pt idx="42" formatCode="0.0%">
                  <c:v>0.3499038712505097</c:v>
                </c:pt>
                <c:pt idx="43" formatCode="0.0%">
                  <c:v>0.34992129643653741</c:v>
                </c:pt>
                <c:pt idx="44" formatCode="0.0%">
                  <c:v>0.3499355629722164</c:v>
                </c:pt>
                <c:pt idx="45" formatCode="0.0%">
                  <c:v>0.34994724342371653</c:v>
                </c:pt>
                <c:pt idx="46" formatCode="0.0%">
                  <c:v>0.3499568065685697</c:v>
                </c:pt>
                <c:pt idx="47" formatCode="0.0%">
                  <c:v>0.34996463620935697</c:v>
                </c:pt>
                <c:pt idx="48" formatCode="0.0%">
                  <c:v>0.34997104657705519</c:v>
                </c:pt>
                <c:pt idx="49" formatCode="0.0%">
                  <c:v>0.34997629494222821</c:v>
                </c:pt>
                <c:pt idx="50" formatCode="0.0%">
                  <c:v>0.34998059194019876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4EB-47F5-A3AF-D1CD7145ABD0}"/>
            </c:ext>
          </c:extLst>
        </c:ser>
        <c:ser>
          <c:idx val="4"/>
          <c:order val="5"/>
          <c:tx>
            <c:strRef>
              <c:f>'1_LDV calcs'!$C$35</c:f>
              <c:strCache>
                <c:ptCount val="1"/>
                <c:pt idx="0">
                  <c:v>petrol exergy efficiency, y = 35(1-e^-0.05x)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calcs'!$D$35:$BB$35</c:f>
              <c:numCache>
                <c:formatCode>General</c:formatCode>
                <c:ptCount val="51"/>
                <c:pt idx="0">
                  <c:v>0</c:v>
                </c:pt>
                <c:pt idx="1">
                  <c:v>0</c:v>
                </c:pt>
                <c:pt idx="2" formatCode="0.0%">
                  <c:v>7.7419725925008287E-2</c:v>
                </c:pt>
                <c:pt idx="3" formatCode="0.0%">
                  <c:v>0.1377142691005783</c:v>
                </c:pt>
                <c:pt idx="4" formatCode="0.0%">
                  <c:v>0.18467170654064485</c:v>
                </c:pt>
                <c:pt idx="5" formatCode="0.0%">
                  <c:v>0.22124219558999517</c:v>
                </c:pt>
                <c:pt idx="6" formatCode="0.0%">
                  <c:v>0.24972332109893344</c:v>
                </c:pt>
                <c:pt idx="7" formatCode="0.0%">
                  <c:v>0.27190444394804958</c:v>
                </c:pt>
                <c:pt idx="8" formatCode="0.0%">
                  <c:v>0.28917911979234417</c:v>
                </c:pt>
                <c:pt idx="9" formatCode="0.0%">
                  <c:v>0.30263265086718555</c:v>
                </c:pt>
                <c:pt idx="10" formatCode="0.0%">
                  <c:v>0.31311027140334746</c:v>
                </c:pt>
                <c:pt idx="11" formatCode="0.0%">
                  <c:v>0.32127025048163538</c:v>
                </c:pt>
                <c:pt idx="12" formatCode="0.0%">
                  <c:v>0.32762524857765235</c:v>
                </c:pt>
                <c:pt idx="13" formatCode="0.0%">
                  <c:v>0.3325745260712476</c:v>
                </c:pt>
                <c:pt idx="14" formatCode="0.0%">
                  <c:v>0.33642902725889728</c:v>
                </c:pt>
                <c:pt idx="15" formatCode="0.0%">
                  <c:v>0.33943091580218854</c:v>
                </c:pt>
                <c:pt idx="16" formatCode="0.0%">
                  <c:v>0.34176878895039686</c:v>
                </c:pt>
                <c:pt idx="17" formatCode="0.0%">
                  <c:v>0.34358952638894302</c:v>
                </c:pt>
                <c:pt idx="18" formatCode="0.0%">
                  <c:v>0.34500751813185027</c:v>
                </c:pt>
                <c:pt idx="19" formatCode="0.0%">
                  <c:v>0.3461118512116152</c:v>
                </c:pt>
                <c:pt idx="20" formatCode="0.0%">
                  <c:v>0.34697190667890782</c:v>
                </c:pt>
                <c:pt idx="21" formatCode="0.0%">
                  <c:v>0.34764171855032011</c:v>
                </c:pt>
                <c:pt idx="22" formatCode="0.0%">
                  <c:v>0.34816336856028657</c:v>
                </c:pt>
                <c:pt idx="23" formatCode="0.0%">
                  <c:v>0.34856962999653762</c:v>
                </c:pt>
                <c:pt idx="24" formatCode="0.0%">
                  <c:v>0.3488860267212216</c:v>
                </c:pt>
                <c:pt idx="25" formatCode="0.0%">
                  <c:v>0.3491324367381668</c:v>
                </c:pt>
                <c:pt idx="26" formatCode="0.0%">
                  <c:v>0.34932434105232024</c:v>
                </c:pt>
                <c:pt idx="27" formatCode="0.0%">
                  <c:v>0.34947379628245784</c:v>
                </c:pt>
                <c:pt idx="28" formatCode="0.0%">
                  <c:v>0.34959019213272308</c:v>
                </c:pt>
                <c:pt idx="29" formatCode="0.0%">
                  <c:v>0.34968084131205596</c:v>
                </c:pt>
                <c:pt idx="30" formatCode="0.0%">
                  <c:v>0.34975143896390515</c:v>
                </c:pt>
                <c:pt idx="31" formatCode="0.0%">
                  <c:v>0.34980642047044824</c:v>
                </c:pt>
                <c:pt idx="32" formatCode="0.0%">
                  <c:v>0.34984924011079849</c:v>
                </c:pt>
                <c:pt idx="33" formatCode="0.0%">
                  <c:v>0.34988258808023409</c:v>
                </c:pt>
                <c:pt idx="34" formatCode="0.0%">
                  <c:v>0.34990855950494443</c:v>
                </c:pt>
                <c:pt idx="35" formatCode="0.0%">
                  <c:v>0.34992878607084626</c:v>
                </c:pt>
                <c:pt idx="36" formatCode="0.0%">
                  <c:v>0.34994453853620944</c:v>
                </c:pt>
                <c:pt idx="37" formatCode="0.0%">
                  <c:v>0.3499568065685697</c:v>
                </c:pt>
                <c:pt idx="38" formatCode="0.0%">
                  <c:v>0.34996636092177852</c:v>
                </c:pt>
                <c:pt idx="39" formatCode="0.0%">
                  <c:v>0.3499738018595393</c:v>
                </c:pt>
                <c:pt idx="40" formatCode="0.0%">
                  <c:v>0.3499795968676942</c:v>
                </c:pt>
                <c:pt idx="41" formatCode="0.0%">
                  <c:v>0.34998411002458313</c:v>
                </c:pt>
                <c:pt idx="42" formatCode="0.0%">
                  <c:v>0.34998762487470236</c:v>
                </c:pt>
                <c:pt idx="43" formatCode="0.0%">
                  <c:v>0.34999036224272756</c:v>
                </c:pt>
                <c:pt idx="44" formatCode="0.0%">
                  <c:v>0.34999249410708921</c:v>
                </c:pt>
                <c:pt idx="45" formatCode="0.0%">
                  <c:v>0.34999415440472342</c:v>
                </c:pt>
                <c:pt idx="46" formatCode="0.0%">
                  <c:v>0.34999544744582112</c:v>
                </c:pt>
                <c:pt idx="47" formatCode="0.0%">
                  <c:v>0.34999645446724048</c:v>
                </c:pt>
                <c:pt idx="48" formatCode="0.0%">
                  <c:v>0.3499972387363105</c:v>
                </c:pt>
                <c:pt idx="49" formatCode="0.0%">
                  <c:v>0.34999784952567631</c:v>
                </c:pt>
                <c:pt idx="50" formatCode="0.0%">
                  <c:v>0.34999832520891272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4EB-47F5-A3AF-D1CD7145ABD0}"/>
            </c:ext>
          </c:extLst>
        </c:ser>
        <c:ser>
          <c:idx val="5"/>
          <c:order val="6"/>
          <c:tx>
            <c:strRef>
              <c:f>'1_LDV calcs'!$C$36</c:f>
              <c:strCache>
                <c:ptCount val="1"/>
                <c:pt idx="0">
                  <c:v>Ayres &amp; warr y = 0.52xmpg (US Gallon)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'1_LDV calcs'!$E$29:$BB$29</c:f>
              <c:numCache>
                <c:formatCode>General</c:formatCode>
                <c:ptCount val="50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</c:v>
                </c:pt>
                <c:pt idx="20">
                  <c:v>100</c:v>
                </c:pt>
                <c:pt idx="21">
                  <c:v>105</c:v>
                </c:pt>
                <c:pt idx="22">
                  <c:v>110</c:v>
                </c:pt>
                <c:pt idx="23">
                  <c:v>115</c:v>
                </c:pt>
                <c:pt idx="24">
                  <c:v>120</c:v>
                </c:pt>
                <c:pt idx="25">
                  <c:v>125</c:v>
                </c:pt>
                <c:pt idx="26">
                  <c:v>130</c:v>
                </c:pt>
                <c:pt idx="27">
                  <c:v>135</c:v>
                </c:pt>
                <c:pt idx="28">
                  <c:v>140</c:v>
                </c:pt>
                <c:pt idx="29">
                  <c:v>145</c:v>
                </c:pt>
                <c:pt idx="30">
                  <c:v>150</c:v>
                </c:pt>
                <c:pt idx="31">
                  <c:v>155</c:v>
                </c:pt>
                <c:pt idx="32">
                  <c:v>160</c:v>
                </c:pt>
                <c:pt idx="33">
                  <c:v>165</c:v>
                </c:pt>
                <c:pt idx="34">
                  <c:v>170</c:v>
                </c:pt>
                <c:pt idx="35">
                  <c:v>175</c:v>
                </c:pt>
                <c:pt idx="36">
                  <c:v>180</c:v>
                </c:pt>
                <c:pt idx="37">
                  <c:v>185</c:v>
                </c:pt>
                <c:pt idx="38">
                  <c:v>190</c:v>
                </c:pt>
                <c:pt idx="39">
                  <c:v>195</c:v>
                </c:pt>
                <c:pt idx="40">
                  <c:v>200</c:v>
                </c:pt>
                <c:pt idx="41">
                  <c:v>205</c:v>
                </c:pt>
                <c:pt idx="42">
                  <c:v>210</c:v>
                </c:pt>
                <c:pt idx="43">
                  <c:v>215</c:v>
                </c:pt>
                <c:pt idx="44">
                  <c:v>220</c:v>
                </c:pt>
                <c:pt idx="45">
                  <c:v>225</c:v>
                </c:pt>
                <c:pt idx="46">
                  <c:v>230</c:v>
                </c:pt>
                <c:pt idx="47">
                  <c:v>235</c:v>
                </c:pt>
                <c:pt idx="48">
                  <c:v>240</c:v>
                </c:pt>
                <c:pt idx="49">
                  <c:v>245</c:v>
                </c:pt>
              </c:numCache>
            </c:numRef>
          </c:cat>
          <c:val>
            <c:numRef>
              <c:f>'1_LDV calcs'!$D$36:$BB$36</c:f>
              <c:numCache>
                <c:formatCode>0.00%</c:formatCode>
                <c:ptCount val="51"/>
                <c:pt idx="1">
                  <c:v>0</c:v>
                </c:pt>
                <c:pt idx="2">
                  <c:v>2.5999999999999999E-2</c:v>
                </c:pt>
                <c:pt idx="3">
                  <c:v>5.1999999999999998E-2</c:v>
                </c:pt>
                <c:pt idx="4">
                  <c:v>7.8E-2</c:v>
                </c:pt>
                <c:pt idx="5">
                  <c:v>0.104</c:v>
                </c:pt>
                <c:pt idx="6">
                  <c:v>0.13</c:v>
                </c:pt>
                <c:pt idx="7">
                  <c:v>0.156</c:v>
                </c:pt>
                <c:pt idx="8">
                  <c:v>0.182</c:v>
                </c:pt>
                <c:pt idx="9">
                  <c:v>0.20799999999999999</c:v>
                </c:pt>
                <c:pt idx="10">
                  <c:v>0.23399999999999999</c:v>
                </c:pt>
                <c:pt idx="11">
                  <c:v>0.26</c:v>
                </c:pt>
                <c:pt idx="12">
                  <c:v>0.28599999999999998</c:v>
                </c:pt>
                <c:pt idx="13">
                  <c:v>0.312</c:v>
                </c:pt>
                <c:pt idx="14">
                  <c:v>0.33799999999999997</c:v>
                </c:pt>
                <c:pt idx="15">
                  <c:v>0.36399999999999999</c:v>
                </c:pt>
                <c:pt idx="16">
                  <c:v>0.38999999999999996</c:v>
                </c:pt>
                <c:pt idx="17">
                  <c:v>0.41599999999999998</c:v>
                </c:pt>
                <c:pt idx="18">
                  <c:v>0.442</c:v>
                </c:pt>
                <c:pt idx="19">
                  <c:v>0.46799999999999997</c:v>
                </c:pt>
                <c:pt idx="20">
                  <c:v>0.49399999999999999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4EB-47F5-A3AF-D1CD7145AB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74435920"/>
        <c:axId val="574437232"/>
      </c:lineChart>
      <c:catAx>
        <c:axId val="574435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4437232"/>
        <c:crosses val="autoZero"/>
        <c:auto val="1"/>
        <c:lblAlgn val="ctr"/>
        <c:lblOffset val="100"/>
        <c:noMultiLvlLbl val="0"/>
      </c:catAx>
      <c:valAx>
        <c:axId val="574437232"/>
        <c:scaling>
          <c:orientation val="minMax"/>
          <c:max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4435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3410574838675693"/>
          <c:y val="0.20549609057186591"/>
          <c:w val="0.35600414086736532"/>
          <c:h val="0.6803910807121088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fuel use IEA vs DECC data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LDVs'!$C$113</c:f>
              <c:strCache>
                <c:ptCount val="1"/>
                <c:pt idx="0">
                  <c:v>Motor gasoline - IEA data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LDVs'!$D$113:$BB$113</c:f>
              <c:numCache>
                <c:formatCode>#,##0.00</c:formatCode>
                <c:ptCount val="51"/>
                <c:pt idx="0">
                  <c:v>8.1414919999999995</c:v>
                </c:pt>
                <c:pt idx="1">
                  <c:v>8.6942769999999996</c:v>
                </c:pt>
                <c:pt idx="2">
                  <c:v>9.1461740000000002</c:v>
                </c:pt>
                <c:pt idx="3">
                  <c:v>9.6569219999999998</c:v>
                </c:pt>
                <c:pt idx="4">
                  <c:v>10.689978</c:v>
                </c:pt>
                <c:pt idx="5">
                  <c:v>11.466609</c:v>
                </c:pt>
                <c:pt idx="6">
                  <c:v>12.089806000000001</c:v>
                </c:pt>
                <c:pt idx="7">
                  <c:v>12.903219999999999</c:v>
                </c:pt>
                <c:pt idx="8">
                  <c:v>13.675647000000001</c:v>
                </c:pt>
                <c:pt idx="9">
                  <c:v>14.128594999999999</c:v>
                </c:pt>
                <c:pt idx="10">
                  <c:v>14.959873999999999</c:v>
                </c:pt>
                <c:pt idx="11">
                  <c:v>15.725995999999999</c:v>
                </c:pt>
                <c:pt idx="12">
                  <c:v>16.708608000000002</c:v>
                </c:pt>
                <c:pt idx="13">
                  <c:v>17.788955999999999</c:v>
                </c:pt>
                <c:pt idx="14">
                  <c:v>17.323397</c:v>
                </c:pt>
                <c:pt idx="15">
                  <c:v>16.946116000000004</c:v>
                </c:pt>
                <c:pt idx="16">
                  <c:v>17.738512</c:v>
                </c:pt>
                <c:pt idx="17">
                  <c:v>18.218782999999998</c:v>
                </c:pt>
                <c:pt idx="18">
                  <c:v>19.282315999999998</c:v>
                </c:pt>
                <c:pt idx="19">
                  <c:v>19.636476999999999</c:v>
                </c:pt>
                <c:pt idx="20">
                  <c:v>20.119901000000002</c:v>
                </c:pt>
                <c:pt idx="21">
                  <c:v>19.671157000000001</c:v>
                </c:pt>
                <c:pt idx="22">
                  <c:v>20.227095000000002</c:v>
                </c:pt>
                <c:pt idx="23">
                  <c:v>20.562339000000001</c:v>
                </c:pt>
                <c:pt idx="24">
                  <c:v>21.255946999999999</c:v>
                </c:pt>
                <c:pt idx="25">
                  <c:v>21.441959999999998</c:v>
                </c:pt>
                <c:pt idx="26">
                  <c:v>22.563294000000003</c:v>
                </c:pt>
                <c:pt idx="27">
                  <c:v>23.313651999999998</c:v>
                </c:pt>
                <c:pt idx="28">
                  <c:v>24.432883999999998</c:v>
                </c:pt>
                <c:pt idx="29">
                  <c:v>25.142257000000001</c:v>
                </c:pt>
                <c:pt idx="30">
                  <c:v>25.550014000000001</c:v>
                </c:pt>
                <c:pt idx="31">
                  <c:v>25.244195999999999</c:v>
                </c:pt>
                <c:pt idx="32">
                  <c:v>25.268366999999998</c:v>
                </c:pt>
                <c:pt idx="33">
                  <c:v>24.976210999999999</c:v>
                </c:pt>
                <c:pt idx="34">
                  <c:v>24.006209999999999</c:v>
                </c:pt>
                <c:pt idx="35">
                  <c:v>23.070888999999998</c:v>
                </c:pt>
                <c:pt idx="36">
                  <c:v>23.55011</c:v>
                </c:pt>
                <c:pt idx="37">
                  <c:v>23.385115000000003</c:v>
                </c:pt>
                <c:pt idx="38">
                  <c:v>22.960543000000001</c:v>
                </c:pt>
                <c:pt idx="39">
                  <c:v>23.747683000000002</c:v>
                </c:pt>
                <c:pt idx="40">
                  <c:v>22.703067000000001</c:v>
                </c:pt>
                <c:pt idx="41">
                  <c:v>21.998949</c:v>
                </c:pt>
                <c:pt idx="42">
                  <c:v>21.867583999999997</c:v>
                </c:pt>
                <c:pt idx="43">
                  <c:v>20.932262999999999</c:v>
                </c:pt>
                <c:pt idx="44">
                  <c:v>20.476163</c:v>
                </c:pt>
                <c:pt idx="45">
                  <c:v>19.684819000000001</c:v>
                </c:pt>
                <c:pt idx="46">
                  <c:v>19.067927999999998</c:v>
                </c:pt>
                <c:pt idx="47">
                  <c:v>18.486768000000001</c:v>
                </c:pt>
                <c:pt idx="48">
                  <c:v>17.511512</c:v>
                </c:pt>
                <c:pt idx="49">
                  <c:v>16.564632000000003</c:v>
                </c:pt>
                <c:pt idx="50">
                  <c:v>15.751218000000001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943-4B8D-B9EB-A157F2988BF8}"/>
            </c:ext>
          </c:extLst>
        </c:ser>
        <c:ser>
          <c:idx val="1"/>
          <c:order val="1"/>
          <c:tx>
            <c:strRef>
              <c:f>'1_UK stats LDVs'!$C$114</c:f>
              <c:strCache>
                <c:ptCount val="1"/>
                <c:pt idx="0">
                  <c:v>Gas/diesel oil - IEA data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LDVs'!$D$114:$BB$114</c:f>
              <c:numCache>
                <c:formatCode>#,##0.00</c:formatCode>
                <c:ptCount val="51"/>
                <c:pt idx="0">
                  <c:v>2.6698770000000001</c:v>
                </c:pt>
                <c:pt idx="1">
                  <c:v>2.933405</c:v>
                </c:pt>
                <c:pt idx="2">
                  <c:v>3.1430069999999999</c:v>
                </c:pt>
                <c:pt idx="3">
                  <c:v>3.4167100000000001</c:v>
                </c:pt>
                <c:pt idx="4">
                  <c:v>3.7585839999999999</c:v>
                </c:pt>
                <c:pt idx="5">
                  <c:v>3.974291</c:v>
                </c:pt>
                <c:pt idx="6">
                  <c:v>4.1777870000000004</c:v>
                </c:pt>
                <c:pt idx="7">
                  <c:v>4.4311409999999993</c:v>
                </c:pt>
                <c:pt idx="8">
                  <c:v>4.732316</c:v>
                </c:pt>
                <c:pt idx="9">
                  <c:v>4.9531099999999997</c:v>
                </c:pt>
                <c:pt idx="10">
                  <c:v>5.12303</c:v>
                </c:pt>
                <c:pt idx="11">
                  <c:v>5.2766700000000002</c:v>
                </c:pt>
                <c:pt idx="12">
                  <c:v>5.3458579999999998</c:v>
                </c:pt>
                <c:pt idx="13">
                  <c:v>5.7569219999999994</c:v>
                </c:pt>
                <c:pt idx="14">
                  <c:v>5.6144740000000004</c:v>
                </c:pt>
                <c:pt idx="15">
                  <c:v>5.5086560000000002</c:v>
                </c:pt>
                <c:pt idx="16">
                  <c:v>5.6918030000000002</c:v>
                </c:pt>
                <c:pt idx="17">
                  <c:v>5.810848</c:v>
                </c:pt>
                <c:pt idx="18">
                  <c:v>5.977716</c:v>
                </c:pt>
                <c:pt idx="19">
                  <c:v>6.1628980000000002</c:v>
                </c:pt>
                <c:pt idx="20">
                  <c:v>5.9563490000000003</c:v>
                </c:pt>
                <c:pt idx="21">
                  <c:v>5.6460159999999995</c:v>
                </c:pt>
                <c:pt idx="22">
                  <c:v>5.8311980000000005</c:v>
                </c:pt>
                <c:pt idx="23">
                  <c:v>6.2911009999999994</c:v>
                </c:pt>
                <c:pt idx="24">
                  <c:v>6.8731009999999992</c:v>
                </c:pt>
                <c:pt idx="25">
                  <c:v>7.2302379999999999</c:v>
                </c:pt>
                <c:pt idx="26">
                  <c:v>8.0035249999999998</c:v>
                </c:pt>
                <c:pt idx="27">
                  <c:v>8.6170679999999997</c:v>
                </c:pt>
                <c:pt idx="28">
                  <c:v>9.5338209999999997</c:v>
                </c:pt>
                <c:pt idx="29">
                  <c:v>10.294898</c:v>
                </c:pt>
                <c:pt idx="30">
                  <c:v>10.838234</c:v>
                </c:pt>
                <c:pt idx="31">
                  <c:v>10.880968999999999</c:v>
                </c:pt>
                <c:pt idx="32">
                  <c:v>11.326627</c:v>
                </c:pt>
                <c:pt idx="33">
                  <c:v>12.012409999999999</c:v>
                </c:pt>
                <c:pt idx="34">
                  <c:v>13.140799999999999</c:v>
                </c:pt>
                <c:pt idx="35">
                  <c:v>13.692276</c:v>
                </c:pt>
                <c:pt idx="36">
                  <c:v>14.616151</c:v>
                </c:pt>
                <c:pt idx="37">
                  <c:v>15.237833</c:v>
                </c:pt>
                <c:pt idx="38">
                  <c:v>15.407753000000001</c:v>
                </c:pt>
                <c:pt idx="39">
                  <c:v>15.779134000000001</c:v>
                </c:pt>
                <c:pt idx="40">
                  <c:v>16.158656000000001</c:v>
                </c:pt>
                <c:pt idx="41">
                  <c:v>16.705044000000001</c:v>
                </c:pt>
                <c:pt idx="42">
                  <c:v>17.221926</c:v>
                </c:pt>
                <c:pt idx="43">
                  <c:v>18.021668000000002</c:v>
                </c:pt>
                <c:pt idx="44">
                  <c:v>18.837689999999998</c:v>
                </c:pt>
                <c:pt idx="45">
                  <c:v>19.77581</c:v>
                </c:pt>
                <c:pt idx="46">
                  <c:v>20.498223000000003</c:v>
                </c:pt>
                <c:pt idx="47">
                  <c:v>21.407852999999999</c:v>
                </c:pt>
                <c:pt idx="48">
                  <c:v>20.932687999999999</c:v>
                </c:pt>
                <c:pt idx="49">
                  <c:v>20.407667</c:v>
                </c:pt>
                <c:pt idx="50">
                  <c:v>21.237934000000003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943-4B8D-B9EB-A157F2988BF8}"/>
            </c:ext>
          </c:extLst>
        </c:ser>
        <c:ser>
          <c:idx val="2"/>
          <c:order val="2"/>
          <c:tx>
            <c:strRef>
              <c:f>'1_UK stats LDVs'!$C$115</c:f>
              <c:strCache>
                <c:ptCount val="1"/>
                <c:pt idx="0">
                  <c:v>Total - IEA data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LDVs'!$D$115:$BB$115</c:f>
              <c:numCache>
                <c:formatCode>#,##0.00</c:formatCode>
                <c:ptCount val="51"/>
                <c:pt idx="0">
                  <c:v>10.811368999999999</c:v>
                </c:pt>
                <c:pt idx="1">
                  <c:v>11.627682</c:v>
                </c:pt>
                <c:pt idx="2">
                  <c:v>12.289180999999999</c:v>
                </c:pt>
                <c:pt idx="3">
                  <c:v>13.073632</c:v>
                </c:pt>
                <c:pt idx="4">
                  <c:v>14.448561999999999</c:v>
                </c:pt>
                <c:pt idx="5">
                  <c:v>15.440899999999999</c:v>
                </c:pt>
                <c:pt idx="6">
                  <c:v>16.267593000000002</c:v>
                </c:pt>
                <c:pt idx="7">
                  <c:v>17.334360999999998</c:v>
                </c:pt>
                <c:pt idx="8">
                  <c:v>18.407963000000002</c:v>
                </c:pt>
                <c:pt idx="9">
                  <c:v>19.081704999999999</c:v>
                </c:pt>
                <c:pt idx="10">
                  <c:v>20.082903999999999</c:v>
                </c:pt>
                <c:pt idx="11">
                  <c:v>21.002665999999998</c:v>
                </c:pt>
                <c:pt idx="12">
                  <c:v>22.054466000000001</c:v>
                </c:pt>
                <c:pt idx="13">
                  <c:v>23.545877999999998</c:v>
                </c:pt>
                <c:pt idx="14">
                  <c:v>22.937871000000001</c:v>
                </c:pt>
                <c:pt idx="15">
                  <c:v>22.454772000000006</c:v>
                </c:pt>
                <c:pt idx="16">
                  <c:v>23.430315</c:v>
                </c:pt>
                <c:pt idx="17">
                  <c:v>24.029630999999998</c:v>
                </c:pt>
                <c:pt idx="18">
                  <c:v>25.260031999999999</c:v>
                </c:pt>
                <c:pt idx="19">
                  <c:v>25.799374999999998</c:v>
                </c:pt>
                <c:pt idx="20">
                  <c:v>26.076250000000002</c:v>
                </c:pt>
                <c:pt idx="21">
                  <c:v>25.317173</c:v>
                </c:pt>
                <c:pt idx="22">
                  <c:v>26.058293000000003</c:v>
                </c:pt>
                <c:pt idx="23">
                  <c:v>26.853439999999999</c:v>
                </c:pt>
                <c:pt idx="24">
                  <c:v>28.129047999999997</c:v>
                </c:pt>
                <c:pt idx="25">
                  <c:v>28.672197999999998</c:v>
                </c:pt>
                <c:pt idx="26">
                  <c:v>30.566819000000002</c:v>
                </c:pt>
                <c:pt idx="27">
                  <c:v>31.930719999999997</c:v>
                </c:pt>
                <c:pt idx="28">
                  <c:v>33.966704999999997</c:v>
                </c:pt>
                <c:pt idx="29">
                  <c:v>35.437155000000004</c:v>
                </c:pt>
                <c:pt idx="30">
                  <c:v>36.388248000000004</c:v>
                </c:pt>
                <c:pt idx="31">
                  <c:v>36.125164999999996</c:v>
                </c:pt>
                <c:pt idx="32">
                  <c:v>36.594994</c:v>
                </c:pt>
                <c:pt idx="33">
                  <c:v>36.988620999999995</c:v>
                </c:pt>
                <c:pt idx="34">
                  <c:v>37.147009999999995</c:v>
                </c:pt>
                <c:pt idx="35">
                  <c:v>36.763165000000001</c:v>
                </c:pt>
                <c:pt idx="36">
                  <c:v>38.166260999999999</c:v>
                </c:pt>
                <c:pt idx="37">
                  <c:v>38.622948000000001</c:v>
                </c:pt>
                <c:pt idx="38">
                  <c:v>38.368296000000001</c:v>
                </c:pt>
                <c:pt idx="39">
                  <c:v>39.526817000000001</c:v>
                </c:pt>
                <c:pt idx="40">
                  <c:v>38.861722999999998</c:v>
                </c:pt>
                <c:pt idx="41">
                  <c:v>38.703992999999997</c:v>
                </c:pt>
                <c:pt idx="42">
                  <c:v>39.089509999999997</c:v>
                </c:pt>
                <c:pt idx="43">
                  <c:v>38.953930999999997</c:v>
                </c:pt>
                <c:pt idx="44">
                  <c:v>39.313852999999995</c:v>
                </c:pt>
                <c:pt idx="45">
                  <c:v>39.460628999999997</c:v>
                </c:pt>
                <c:pt idx="46">
                  <c:v>39.566151000000005</c:v>
                </c:pt>
                <c:pt idx="47">
                  <c:v>39.894621000000001</c:v>
                </c:pt>
                <c:pt idx="48">
                  <c:v>38.444199999999995</c:v>
                </c:pt>
                <c:pt idx="49">
                  <c:v>36.972299000000007</c:v>
                </c:pt>
                <c:pt idx="50">
                  <c:v>36.989152000000004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943-4B8D-B9EB-A157F2988BF8}"/>
            </c:ext>
          </c:extLst>
        </c:ser>
        <c:ser>
          <c:idx val="3"/>
          <c:order val="3"/>
          <c:tx>
            <c:strRef>
              <c:f>'3a - road vehicle efficiencies'!#REF!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'3a - road vehicle efficiencies'!#REF!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943-4B8D-B9EB-A157F2988BF8}"/>
            </c:ext>
          </c:extLst>
        </c:ser>
        <c:ser>
          <c:idx val="4"/>
          <c:order val="4"/>
          <c:tx>
            <c:strRef>
              <c:f>'3a - road vehicle efficiencies'!#REF!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'3a - road vehicle efficiencies'!#REF!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943-4B8D-B9EB-A157F2988BF8}"/>
            </c:ext>
          </c:extLst>
        </c:ser>
        <c:ser>
          <c:idx val="5"/>
          <c:order val="5"/>
          <c:tx>
            <c:strRef>
              <c:f>'3a - road vehicle efficiencies'!#REF!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cat>
            <c:numRef>
              <c:f>'1_UK stats LDVs'!$D$112:$BB$112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'3a - road vehicle efficiencies'!#REF!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943-4B8D-B9EB-A157F2988B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62861312"/>
        <c:axId val="362862848"/>
      </c:lineChart>
      <c:catAx>
        <c:axId val="3628613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362862848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36286284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Mtes</a:t>
                </a:r>
              </a:p>
            </c:rich>
          </c:tx>
          <c:overlay val="0"/>
        </c:title>
        <c:numFmt formatCode="#,##0.00" sourceLinked="1"/>
        <c:majorTickMark val="out"/>
        <c:minorTickMark val="none"/>
        <c:tickLblPos val="nextTo"/>
        <c:crossAx val="3628613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mileage (kms) 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LDVs'!$C$128</c:f>
              <c:strCache>
                <c:ptCount val="1"/>
                <c:pt idx="0">
                  <c:v>Cars and taxis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LDVs'!$D$128:$BB$128</c:f>
              <c:numCache>
                <c:formatCode>0.0</c:formatCode>
                <c:ptCount val="51"/>
                <c:pt idx="0">
                  <c:v>68.060699999999997</c:v>
                </c:pt>
                <c:pt idx="1">
                  <c:v>76.910199999999989</c:v>
                </c:pt>
                <c:pt idx="2">
                  <c:v>83.668000000000006</c:v>
                </c:pt>
                <c:pt idx="3">
                  <c:v>91.391199999999998</c:v>
                </c:pt>
                <c:pt idx="4">
                  <c:v>105.71130000000001</c:v>
                </c:pt>
                <c:pt idx="5">
                  <c:v>115.848</c:v>
                </c:pt>
                <c:pt idx="6">
                  <c:v>126.46739999999998</c:v>
                </c:pt>
                <c:pt idx="7">
                  <c:v>134.99510000000001</c:v>
                </c:pt>
                <c:pt idx="8">
                  <c:v>142.7183</c:v>
                </c:pt>
                <c:pt idx="9">
                  <c:v>147.86710000000002</c:v>
                </c:pt>
                <c:pt idx="10">
                  <c:v>154.94669999999999</c:v>
                </c:pt>
                <c:pt idx="11">
                  <c:v>165.08339999999998</c:v>
                </c:pt>
                <c:pt idx="12">
                  <c:v>174.73739999999998</c:v>
                </c:pt>
                <c:pt idx="13">
                  <c:v>183.90869999999998</c:v>
                </c:pt>
                <c:pt idx="14">
                  <c:v>179.8862</c:v>
                </c:pt>
                <c:pt idx="15">
                  <c:v>181.49519999999998</c:v>
                </c:pt>
                <c:pt idx="16">
                  <c:v>190.34469999999999</c:v>
                </c:pt>
                <c:pt idx="17">
                  <c:v>194.0454</c:v>
                </c:pt>
                <c:pt idx="18">
                  <c:v>202.41219999999998</c:v>
                </c:pt>
                <c:pt idx="19">
                  <c:v>201.4468</c:v>
                </c:pt>
                <c:pt idx="20">
                  <c:v>214.9624</c:v>
                </c:pt>
                <c:pt idx="21">
                  <c:v>219.4676</c:v>
                </c:pt>
                <c:pt idx="22">
                  <c:v>227.19079999999997</c:v>
                </c:pt>
                <c:pt idx="23">
                  <c:v>231.21329999999998</c:v>
                </c:pt>
                <c:pt idx="24">
                  <c:v>243.92439999999999</c:v>
                </c:pt>
                <c:pt idx="25">
                  <c:v>250.52129999999997</c:v>
                </c:pt>
                <c:pt idx="26">
                  <c:v>264.3587</c:v>
                </c:pt>
                <c:pt idx="27">
                  <c:v>284.47120000000001</c:v>
                </c:pt>
                <c:pt idx="28">
                  <c:v>305.38820000000004</c:v>
                </c:pt>
                <c:pt idx="29">
                  <c:v>331.29309999999998</c:v>
                </c:pt>
                <c:pt idx="30">
                  <c:v>335.79829999999998</c:v>
                </c:pt>
                <c:pt idx="31">
                  <c:v>335.15469999999999</c:v>
                </c:pt>
                <c:pt idx="32">
                  <c:v>337.89</c:v>
                </c:pt>
                <c:pt idx="33">
                  <c:v>338.05090000000001</c:v>
                </c:pt>
                <c:pt idx="34">
                  <c:v>344.96960000000001</c:v>
                </c:pt>
                <c:pt idx="35">
                  <c:v>351.0838</c:v>
                </c:pt>
                <c:pt idx="36">
                  <c:v>359.7724</c:v>
                </c:pt>
                <c:pt idx="37">
                  <c:v>365.72570000000002</c:v>
                </c:pt>
                <c:pt idx="38">
                  <c:v>370.55270000000002</c:v>
                </c:pt>
                <c:pt idx="39">
                  <c:v>377.31049999999999</c:v>
                </c:pt>
                <c:pt idx="40">
                  <c:v>376.02330000000001</c:v>
                </c:pt>
                <c:pt idx="41">
                  <c:v>381.1721</c:v>
                </c:pt>
                <c:pt idx="42">
                  <c:v>390.5043</c:v>
                </c:pt>
                <c:pt idx="43">
                  <c:v>389.86070000000001</c:v>
                </c:pt>
                <c:pt idx="44">
                  <c:v>394.20499999999998</c:v>
                </c:pt>
                <c:pt idx="45">
                  <c:v>392.596</c:v>
                </c:pt>
                <c:pt idx="46">
                  <c:v>397.26210000000003</c:v>
                </c:pt>
                <c:pt idx="47">
                  <c:v>397.90570000000002</c:v>
                </c:pt>
                <c:pt idx="48">
                  <c:v>394.84860000000003</c:v>
                </c:pt>
                <c:pt idx="49">
                  <c:v>393.88319999999999</c:v>
                </c:pt>
                <c:pt idx="50">
                  <c:v>389.21710000000002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B52-4DD6-94F6-D00BF250354C}"/>
            </c:ext>
          </c:extLst>
        </c:ser>
        <c:ser>
          <c:idx val="1"/>
          <c:order val="1"/>
          <c:tx>
            <c:strRef>
              <c:f>'1_UK stats LDVs'!$C$129</c:f>
              <c:strCache>
                <c:ptCount val="1"/>
                <c:pt idx="0">
                  <c:v>Light vans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LDVs'!$D$129:$BB$129</c:f>
              <c:numCache>
                <c:formatCode>0.0</c:formatCode>
                <c:ptCount val="51"/>
                <c:pt idx="0">
                  <c:v>14.963700000000001</c:v>
                </c:pt>
                <c:pt idx="1">
                  <c:v>16.411799999999999</c:v>
                </c:pt>
                <c:pt idx="2">
                  <c:v>16.572700000000001</c:v>
                </c:pt>
                <c:pt idx="3">
                  <c:v>17.5381</c:v>
                </c:pt>
                <c:pt idx="4">
                  <c:v>17.698999999999998</c:v>
                </c:pt>
                <c:pt idx="5">
                  <c:v>18.9862</c:v>
                </c:pt>
                <c:pt idx="6">
                  <c:v>18.9862</c:v>
                </c:pt>
                <c:pt idx="7">
                  <c:v>18.664400000000001</c:v>
                </c:pt>
                <c:pt idx="8">
                  <c:v>18.825299999999999</c:v>
                </c:pt>
                <c:pt idx="9">
                  <c:v>19.308</c:v>
                </c:pt>
                <c:pt idx="10">
                  <c:v>20.273399999999999</c:v>
                </c:pt>
                <c:pt idx="11">
                  <c:v>21.238799999999998</c:v>
                </c:pt>
                <c:pt idx="12">
                  <c:v>22.2042</c:v>
                </c:pt>
                <c:pt idx="13">
                  <c:v>23.330500000000001</c:v>
                </c:pt>
                <c:pt idx="14">
                  <c:v>23.6523</c:v>
                </c:pt>
                <c:pt idx="15">
                  <c:v>23.491399999999999</c:v>
                </c:pt>
                <c:pt idx="16">
                  <c:v>24.134999999999998</c:v>
                </c:pt>
                <c:pt idx="17">
                  <c:v>24.456799999999998</c:v>
                </c:pt>
                <c:pt idx="18">
                  <c:v>25.261299999999999</c:v>
                </c:pt>
                <c:pt idx="19">
                  <c:v>25.1004</c:v>
                </c:pt>
                <c:pt idx="20">
                  <c:v>26.065799999999999</c:v>
                </c:pt>
                <c:pt idx="21">
                  <c:v>26.226700000000001</c:v>
                </c:pt>
                <c:pt idx="22">
                  <c:v>26.065799999999999</c:v>
                </c:pt>
                <c:pt idx="23">
                  <c:v>26.065799999999999</c:v>
                </c:pt>
                <c:pt idx="24">
                  <c:v>27.513900000000003</c:v>
                </c:pt>
                <c:pt idx="25">
                  <c:v>28.6402</c:v>
                </c:pt>
                <c:pt idx="26">
                  <c:v>29.927400000000002</c:v>
                </c:pt>
                <c:pt idx="27">
                  <c:v>32.662700000000001</c:v>
                </c:pt>
                <c:pt idx="28">
                  <c:v>36.202500000000001</c:v>
                </c:pt>
                <c:pt idx="29">
                  <c:v>39.7423</c:v>
                </c:pt>
                <c:pt idx="30">
                  <c:v>39.903199999999998</c:v>
                </c:pt>
                <c:pt idx="31">
                  <c:v>41.673099999999998</c:v>
                </c:pt>
                <c:pt idx="32">
                  <c:v>41.190400000000004</c:v>
                </c:pt>
                <c:pt idx="33">
                  <c:v>41.5122</c:v>
                </c:pt>
                <c:pt idx="34">
                  <c:v>43.2821</c:v>
                </c:pt>
                <c:pt idx="35">
                  <c:v>44.569299999999998</c:v>
                </c:pt>
                <c:pt idx="36">
                  <c:v>46.1783</c:v>
                </c:pt>
                <c:pt idx="37">
                  <c:v>48.591799999999999</c:v>
                </c:pt>
                <c:pt idx="38">
                  <c:v>50.8444</c:v>
                </c:pt>
                <c:pt idx="39">
                  <c:v>51.648900000000005</c:v>
                </c:pt>
                <c:pt idx="40">
                  <c:v>52.131599999999999</c:v>
                </c:pt>
                <c:pt idx="41">
                  <c:v>53.418800000000005</c:v>
                </c:pt>
                <c:pt idx="42">
                  <c:v>54.706000000000003</c:v>
                </c:pt>
                <c:pt idx="43">
                  <c:v>57.441300000000005</c:v>
                </c:pt>
                <c:pt idx="44">
                  <c:v>60.176600000000001</c:v>
                </c:pt>
                <c:pt idx="45">
                  <c:v>61.785599999999995</c:v>
                </c:pt>
                <c:pt idx="46">
                  <c:v>64.199100000000001</c:v>
                </c:pt>
                <c:pt idx="47">
                  <c:v>67.417099999999991</c:v>
                </c:pt>
                <c:pt idx="48">
                  <c:v>66.934399999999997</c:v>
                </c:pt>
                <c:pt idx="49">
                  <c:v>65.4863</c:v>
                </c:pt>
                <c:pt idx="50">
                  <c:v>66.6126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B52-4DD6-94F6-D00BF250354C}"/>
            </c:ext>
          </c:extLst>
        </c:ser>
        <c:ser>
          <c:idx val="2"/>
          <c:order val="2"/>
          <c:tx>
            <c:strRef>
              <c:f>'1_UK stats LDVs'!$C$130</c:f>
              <c:strCache>
                <c:ptCount val="1"/>
                <c:pt idx="0">
                  <c:v>Goods vehicles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LDVs'!$D$130:$BB$130</c:f>
              <c:numCache>
                <c:formatCode>0.0</c:formatCode>
                <c:ptCount val="51"/>
                <c:pt idx="0">
                  <c:v>15.285499999999999</c:v>
                </c:pt>
                <c:pt idx="1">
                  <c:v>15.446399999999999</c:v>
                </c:pt>
                <c:pt idx="2">
                  <c:v>15.446399999999999</c:v>
                </c:pt>
                <c:pt idx="3">
                  <c:v>15.7682</c:v>
                </c:pt>
                <c:pt idx="4">
                  <c:v>17.377200000000002</c:v>
                </c:pt>
                <c:pt idx="5">
                  <c:v>17.2163</c:v>
                </c:pt>
                <c:pt idx="6">
                  <c:v>17.5381</c:v>
                </c:pt>
                <c:pt idx="7">
                  <c:v>17.2163</c:v>
                </c:pt>
                <c:pt idx="8">
                  <c:v>17.5381</c:v>
                </c:pt>
                <c:pt idx="9">
                  <c:v>17.377200000000002</c:v>
                </c:pt>
                <c:pt idx="10">
                  <c:v>17.5381</c:v>
                </c:pt>
                <c:pt idx="11">
                  <c:v>18.020799999999998</c:v>
                </c:pt>
                <c:pt idx="12">
                  <c:v>18.342600000000001</c:v>
                </c:pt>
                <c:pt idx="13">
                  <c:v>19.308</c:v>
                </c:pt>
                <c:pt idx="14">
                  <c:v>18.664400000000001</c:v>
                </c:pt>
                <c:pt idx="15">
                  <c:v>18.342600000000001</c:v>
                </c:pt>
                <c:pt idx="16">
                  <c:v>19.147100000000002</c:v>
                </c:pt>
                <c:pt idx="17">
                  <c:v>18.825299999999999</c:v>
                </c:pt>
                <c:pt idx="18">
                  <c:v>19.468899999999998</c:v>
                </c:pt>
                <c:pt idx="19">
                  <c:v>19.629799999999999</c:v>
                </c:pt>
                <c:pt idx="20">
                  <c:v>19.629799999999999</c:v>
                </c:pt>
                <c:pt idx="21">
                  <c:v>18.825299999999999</c:v>
                </c:pt>
                <c:pt idx="22">
                  <c:v>18.342600000000001</c:v>
                </c:pt>
                <c:pt idx="23">
                  <c:v>18.825299999999999</c:v>
                </c:pt>
                <c:pt idx="24">
                  <c:v>19.629799999999999</c:v>
                </c:pt>
                <c:pt idx="25">
                  <c:v>19.629799999999999</c:v>
                </c:pt>
                <c:pt idx="26">
                  <c:v>20.112500000000001</c:v>
                </c:pt>
                <c:pt idx="27">
                  <c:v>22.365100000000002</c:v>
                </c:pt>
                <c:pt idx="28">
                  <c:v>23.813200000000002</c:v>
                </c:pt>
                <c:pt idx="29">
                  <c:v>25.4222</c:v>
                </c:pt>
                <c:pt idx="30">
                  <c:v>24.939499999999999</c:v>
                </c:pt>
                <c:pt idx="31">
                  <c:v>24.456799999999998</c:v>
                </c:pt>
                <c:pt idx="32">
                  <c:v>23.813200000000002</c:v>
                </c:pt>
                <c:pt idx="33">
                  <c:v>24.2959</c:v>
                </c:pt>
                <c:pt idx="34">
                  <c:v>24.778600000000001</c:v>
                </c:pt>
                <c:pt idx="35">
                  <c:v>25.4222</c:v>
                </c:pt>
                <c:pt idx="36">
                  <c:v>26.226700000000001</c:v>
                </c:pt>
                <c:pt idx="37">
                  <c:v>26.8703</c:v>
                </c:pt>
                <c:pt idx="38">
                  <c:v>27.674799999999998</c:v>
                </c:pt>
                <c:pt idx="39">
                  <c:v>28.157499999999999</c:v>
                </c:pt>
                <c:pt idx="40">
                  <c:v>28.157499999999999</c:v>
                </c:pt>
                <c:pt idx="41">
                  <c:v>27.996599999999997</c:v>
                </c:pt>
                <c:pt idx="42">
                  <c:v>28.3184</c:v>
                </c:pt>
                <c:pt idx="43">
                  <c:v>28.479299999999999</c:v>
                </c:pt>
                <c:pt idx="44">
                  <c:v>29.283799999999999</c:v>
                </c:pt>
                <c:pt idx="45">
                  <c:v>28.962</c:v>
                </c:pt>
                <c:pt idx="46">
                  <c:v>28.962</c:v>
                </c:pt>
                <c:pt idx="47">
                  <c:v>29.283799999999999</c:v>
                </c:pt>
                <c:pt idx="48">
                  <c:v>28.6402</c:v>
                </c:pt>
                <c:pt idx="49">
                  <c:v>26.226700000000001</c:v>
                </c:pt>
                <c:pt idx="50">
                  <c:v>26.387599999999999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B52-4DD6-94F6-D00BF250354C}"/>
            </c:ext>
          </c:extLst>
        </c:ser>
        <c:ser>
          <c:idx val="3"/>
          <c:order val="3"/>
          <c:tx>
            <c:strRef>
              <c:f>'1_UK stats LDVs'!$C$131</c:f>
              <c:strCache>
                <c:ptCount val="1"/>
                <c:pt idx="0">
                  <c:v>Motorcycles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LDVs'!$D$131:$BB$131</c:f>
              <c:numCache>
                <c:formatCode>0.0</c:formatCode>
                <c:ptCount val="51"/>
                <c:pt idx="0">
                  <c:v>9.9757999999999996</c:v>
                </c:pt>
                <c:pt idx="1">
                  <c:v>9.6539999999999999</c:v>
                </c:pt>
                <c:pt idx="2">
                  <c:v>8.688600000000001</c:v>
                </c:pt>
                <c:pt idx="3">
                  <c:v>7.5623000000000005</c:v>
                </c:pt>
                <c:pt idx="4">
                  <c:v>7.5623000000000005</c:v>
                </c:pt>
                <c:pt idx="5">
                  <c:v>6.7578000000000005</c:v>
                </c:pt>
                <c:pt idx="6">
                  <c:v>5.9533000000000005</c:v>
                </c:pt>
                <c:pt idx="7">
                  <c:v>5.1488000000000005</c:v>
                </c:pt>
                <c:pt idx="8">
                  <c:v>4.6661000000000001</c:v>
                </c:pt>
                <c:pt idx="9">
                  <c:v>4.1833999999999998</c:v>
                </c:pt>
                <c:pt idx="10">
                  <c:v>4.0225</c:v>
                </c:pt>
                <c:pt idx="11">
                  <c:v>3.8615999999999997</c:v>
                </c:pt>
                <c:pt idx="12">
                  <c:v>3.7006999999999999</c:v>
                </c:pt>
                <c:pt idx="13">
                  <c:v>3.8615999999999997</c:v>
                </c:pt>
                <c:pt idx="14">
                  <c:v>4.1833999999999998</c:v>
                </c:pt>
                <c:pt idx="15">
                  <c:v>5.1488000000000005</c:v>
                </c:pt>
                <c:pt idx="16">
                  <c:v>6.2751000000000001</c:v>
                </c:pt>
                <c:pt idx="17">
                  <c:v>6.2751000000000001</c:v>
                </c:pt>
                <c:pt idx="18">
                  <c:v>6.1141999999999994</c:v>
                </c:pt>
                <c:pt idx="19">
                  <c:v>6.4359999999999999</c:v>
                </c:pt>
                <c:pt idx="20">
                  <c:v>7.7231999999999994</c:v>
                </c:pt>
                <c:pt idx="21">
                  <c:v>8.849499999999999</c:v>
                </c:pt>
                <c:pt idx="22">
                  <c:v>9.1713000000000005</c:v>
                </c:pt>
                <c:pt idx="23">
                  <c:v>8.3667999999999996</c:v>
                </c:pt>
                <c:pt idx="24">
                  <c:v>8.0449999999999999</c:v>
                </c:pt>
                <c:pt idx="25">
                  <c:v>7.4013999999999998</c:v>
                </c:pt>
                <c:pt idx="26">
                  <c:v>7.0796000000000001</c:v>
                </c:pt>
                <c:pt idx="27">
                  <c:v>6.7578000000000005</c:v>
                </c:pt>
                <c:pt idx="28">
                  <c:v>5.9533000000000005</c:v>
                </c:pt>
                <c:pt idx="29">
                  <c:v>5.9533000000000005</c:v>
                </c:pt>
                <c:pt idx="30">
                  <c:v>5.6315</c:v>
                </c:pt>
                <c:pt idx="31">
                  <c:v>5.4706000000000001</c:v>
                </c:pt>
                <c:pt idx="32">
                  <c:v>4.5051999999999994</c:v>
                </c:pt>
                <c:pt idx="33">
                  <c:v>3.7006999999999999</c:v>
                </c:pt>
                <c:pt idx="34">
                  <c:v>3.7006999999999999</c:v>
                </c:pt>
                <c:pt idx="35">
                  <c:v>3.7006999999999999</c:v>
                </c:pt>
                <c:pt idx="36">
                  <c:v>3.7006999999999999</c:v>
                </c:pt>
                <c:pt idx="37">
                  <c:v>4.0225</c:v>
                </c:pt>
                <c:pt idx="38">
                  <c:v>4.1833999999999998</c:v>
                </c:pt>
                <c:pt idx="39">
                  <c:v>4.5051999999999994</c:v>
                </c:pt>
                <c:pt idx="40">
                  <c:v>4.5051999999999994</c:v>
                </c:pt>
                <c:pt idx="41">
                  <c:v>4.827</c:v>
                </c:pt>
                <c:pt idx="42">
                  <c:v>4.9878999999999998</c:v>
                </c:pt>
                <c:pt idx="43">
                  <c:v>5.4706000000000001</c:v>
                </c:pt>
                <c:pt idx="44">
                  <c:v>5.1488000000000005</c:v>
                </c:pt>
                <c:pt idx="45">
                  <c:v>5.3096999999999994</c:v>
                </c:pt>
                <c:pt idx="46">
                  <c:v>5.1488000000000005</c:v>
                </c:pt>
                <c:pt idx="47">
                  <c:v>5.4706000000000001</c:v>
                </c:pt>
                <c:pt idx="48">
                  <c:v>4.9878999999999998</c:v>
                </c:pt>
                <c:pt idx="49">
                  <c:v>5.1488000000000005</c:v>
                </c:pt>
                <c:pt idx="50">
                  <c:v>4.6661000000000001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B52-4DD6-94F6-D00BF250354C}"/>
            </c:ext>
          </c:extLst>
        </c:ser>
        <c:ser>
          <c:idx val="4"/>
          <c:order val="4"/>
          <c:tx>
            <c:strRef>
              <c:f>'1_UK stats LDVs'!$C$132</c:f>
              <c:strCache>
                <c:ptCount val="1"/>
                <c:pt idx="0">
                  <c:v>Buses &amp; Coaches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LDVs'!$D$132:$BB$132</c:f>
              <c:numCache>
                <c:formatCode>0.0</c:formatCode>
                <c:ptCount val="51"/>
                <c:pt idx="0">
                  <c:v>3.8615999999999997</c:v>
                </c:pt>
                <c:pt idx="1">
                  <c:v>4.0225</c:v>
                </c:pt>
                <c:pt idx="2">
                  <c:v>4.0225</c:v>
                </c:pt>
                <c:pt idx="3">
                  <c:v>4.0225</c:v>
                </c:pt>
                <c:pt idx="4">
                  <c:v>4.0225</c:v>
                </c:pt>
                <c:pt idx="5">
                  <c:v>3.8615999999999997</c:v>
                </c:pt>
                <c:pt idx="6">
                  <c:v>3.8615999999999997</c:v>
                </c:pt>
                <c:pt idx="7">
                  <c:v>3.8615999999999997</c:v>
                </c:pt>
                <c:pt idx="8">
                  <c:v>3.8615999999999997</c:v>
                </c:pt>
                <c:pt idx="9">
                  <c:v>3.8615999999999997</c:v>
                </c:pt>
                <c:pt idx="10">
                  <c:v>3.5398000000000001</c:v>
                </c:pt>
                <c:pt idx="11">
                  <c:v>3.5398000000000001</c:v>
                </c:pt>
                <c:pt idx="12">
                  <c:v>3.5398000000000001</c:v>
                </c:pt>
                <c:pt idx="13">
                  <c:v>3.5398000000000001</c:v>
                </c:pt>
                <c:pt idx="14">
                  <c:v>3.3789000000000002</c:v>
                </c:pt>
                <c:pt idx="15">
                  <c:v>3.218</c:v>
                </c:pt>
                <c:pt idx="16">
                  <c:v>3.3789000000000002</c:v>
                </c:pt>
                <c:pt idx="17">
                  <c:v>3.218</c:v>
                </c:pt>
                <c:pt idx="18">
                  <c:v>3.3789000000000002</c:v>
                </c:pt>
                <c:pt idx="19">
                  <c:v>3.3789000000000002</c:v>
                </c:pt>
                <c:pt idx="20">
                  <c:v>3.5398000000000001</c:v>
                </c:pt>
                <c:pt idx="21">
                  <c:v>3.5398000000000001</c:v>
                </c:pt>
                <c:pt idx="22">
                  <c:v>3.5398000000000001</c:v>
                </c:pt>
                <c:pt idx="23">
                  <c:v>3.7006999999999999</c:v>
                </c:pt>
                <c:pt idx="24">
                  <c:v>3.8615999999999997</c:v>
                </c:pt>
                <c:pt idx="25">
                  <c:v>3.7006999999999999</c:v>
                </c:pt>
                <c:pt idx="26">
                  <c:v>3.7006999999999999</c:v>
                </c:pt>
                <c:pt idx="27">
                  <c:v>4.0225</c:v>
                </c:pt>
                <c:pt idx="28">
                  <c:v>4.3443000000000005</c:v>
                </c:pt>
                <c:pt idx="29">
                  <c:v>4.5051999999999994</c:v>
                </c:pt>
                <c:pt idx="30">
                  <c:v>4.6661000000000001</c:v>
                </c:pt>
                <c:pt idx="31">
                  <c:v>4.827</c:v>
                </c:pt>
                <c:pt idx="32">
                  <c:v>4.6661000000000001</c:v>
                </c:pt>
                <c:pt idx="33">
                  <c:v>4.6661000000000001</c:v>
                </c:pt>
                <c:pt idx="34">
                  <c:v>4.6661000000000001</c:v>
                </c:pt>
                <c:pt idx="35">
                  <c:v>4.827</c:v>
                </c:pt>
                <c:pt idx="36">
                  <c:v>4.9878999999999998</c:v>
                </c:pt>
                <c:pt idx="37">
                  <c:v>5.1488000000000005</c:v>
                </c:pt>
                <c:pt idx="38">
                  <c:v>5.3096999999999994</c:v>
                </c:pt>
                <c:pt idx="39">
                  <c:v>5.3096999999999994</c:v>
                </c:pt>
                <c:pt idx="40">
                  <c:v>5.1488000000000005</c:v>
                </c:pt>
                <c:pt idx="41">
                  <c:v>5.1488000000000005</c:v>
                </c:pt>
                <c:pt idx="42">
                  <c:v>5.1488000000000005</c:v>
                </c:pt>
                <c:pt idx="43">
                  <c:v>5.3096999999999994</c:v>
                </c:pt>
                <c:pt idx="44">
                  <c:v>5.1488000000000005</c:v>
                </c:pt>
                <c:pt idx="45">
                  <c:v>5.1488000000000005</c:v>
                </c:pt>
                <c:pt idx="46">
                  <c:v>5.3096999999999994</c:v>
                </c:pt>
                <c:pt idx="47">
                  <c:v>5.4706000000000001</c:v>
                </c:pt>
                <c:pt idx="48">
                  <c:v>4.9878999999999998</c:v>
                </c:pt>
                <c:pt idx="49">
                  <c:v>4.9878999999999998</c:v>
                </c:pt>
                <c:pt idx="50">
                  <c:v>5.1488000000000005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B52-4DD6-94F6-D00BF250354C}"/>
            </c:ext>
          </c:extLst>
        </c:ser>
        <c:ser>
          <c:idx val="5"/>
          <c:order val="5"/>
          <c:tx>
            <c:strRef>
              <c:f>'1_UK stats LDVs'!$C$133</c:f>
              <c:strCache>
                <c:ptCount val="1"/>
                <c:pt idx="0">
                  <c:v>Total</c:v>
                </c:pt>
              </c:strCache>
            </c:strRef>
          </c:tx>
          <c:marker>
            <c:symbol val="none"/>
          </c:marker>
          <c:cat>
            <c:numRef>
              <c:f>'1_UK stats LDVs'!$D$127:$BB$127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LDVs'!$D$133:$BB$133</c:f>
              <c:numCache>
                <c:formatCode>0.0</c:formatCode>
                <c:ptCount val="51"/>
                <c:pt idx="0">
                  <c:v>112.14729999999999</c:v>
                </c:pt>
                <c:pt idx="1">
                  <c:v>122.44489999999998</c:v>
                </c:pt>
                <c:pt idx="2">
                  <c:v>128.3982</c:v>
                </c:pt>
                <c:pt idx="3">
                  <c:v>136.28229999999999</c:v>
                </c:pt>
                <c:pt idx="4">
                  <c:v>152.37230000000002</c:v>
                </c:pt>
                <c:pt idx="5">
                  <c:v>162.66990000000001</c:v>
                </c:pt>
                <c:pt idx="6">
                  <c:v>172.8066</c:v>
                </c:pt>
                <c:pt idx="7">
                  <c:v>179.8862</c:v>
                </c:pt>
                <c:pt idx="8">
                  <c:v>187.60940000000002</c:v>
                </c:pt>
                <c:pt idx="9">
                  <c:v>192.59730000000002</c:v>
                </c:pt>
                <c:pt idx="10">
                  <c:v>200.32050000000001</c:v>
                </c:pt>
                <c:pt idx="11">
                  <c:v>211.74440000000001</c:v>
                </c:pt>
                <c:pt idx="12">
                  <c:v>222.52470000000002</c:v>
                </c:pt>
                <c:pt idx="13">
                  <c:v>233.9486</c:v>
                </c:pt>
                <c:pt idx="14">
                  <c:v>229.76519999999999</c:v>
                </c:pt>
                <c:pt idx="15">
                  <c:v>231.69599999999997</c:v>
                </c:pt>
                <c:pt idx="16">
                  <c:v>243.28079999999997</c:v>
                </c:pt>
                <c:pt idx="17">
                  <c:v>246.82059999999998</c:v>
                </c:pt>
                <c:pt idx="18">
                  <c:v>256.63549999999998</c:v>
                </c:pt>
                <c:pt idx="19">
                  <c:v>255.99189999999999</c:v>
                </c:pt>
                <c:pt idx="20">
                  <c:v>271.92100000000005</c:v>
                </c:pt>
                <c:pt idx="21">
                  <c:v>276.90889999999996</c:v>
                </c:pt>
                <c:pt idx="22">
                  <c:v>284.31029999999993</c:v>
                </c:pt>
                <c:pt idx="23">
                  <c:v>288.17189999999994</c:v>
                </c:pt>
                <c:pt idx="24">
                  <c:v>302.97469999999998</c:v>
                </c:pt>
                <c:pt idx="25">
                  <c:v>309.89339999999999</c:v>
                </c:pt>
                <c:pt idx="26">
                  <c:v>325.1789</c:v>
                </c:pt>
                <c:pt idx="27">
                  <c:v>350.27929999999998</c:v>
                </c:pt>
                <c:pt idx="28">
                  <c:v>375.70150000000001</c:v>
                </c:pt>
                <c:pt idx="29">
                  <c:v>406.91609999999997</c:v>
                </c:pt>
                <c:pt idx="30">
                  <c:v>410.93860000000006</c:v>
                </c:pt>
                <c:pt idx="31">
                  <c:v>411.58219999999994</c:v>
                </c:pt>
                <c:pt idx="32">
                  <c:v>412.06489999999997</c:v>
                </c:pt>
                <c:pt idx="33">
                  <c:v>412.22580000000005</c:v>
                </c:pt>
                <c:pt idx="34">
                  <c:v>421.39710000000002</c:v>
                </c:pt>
                <c:pt idx="35">
                  <c:v>429.60299999999995</c:v>
                </c:pt>
                <c:pt idx="36">
                  <c:v>440.86599999999999</c:v>
                </c:pt>
                <c:pt idx="37">
                  <c:v>450.35909999999996</c:v>
                </c:pt>
                <c:pt idx="38">
                  <c:v>458.56500000000005</c:v>
                </c:pt>
                <c:pt idx="39">
                  <c:v>466.93180000000001</c:v>
                </c:pt>
                <c:pt idx="40">
                  <c:v>465.96640000000002</c:v>
                </c:pt>
                <c:pt idx="41">
                  <c:v>472.56330000000003</c:v>
                </c:pt>
                <c:pt idx="42">
                  <c:v>483.66540000000003</c:v>
                </c:pt>
                <c:pt idx="43">
                  <c:v>486.56160000000006</c:v>
                </c:pt>
                <c:pt idx="44">
                  <c:v>493.96299999999997</c:v>
                </c:pt>
                <c:pt idx="45">
                  <c:v>493.8021</c:v>
                </c:pt>
                <c:pt idx="46">
                  <c:v>500.88170000000002</c:v>
                </c:pt>
                <c:pt idx="47">
                  <c:v>505.5478</c:v>
                </c:pt>
                <c:pt idx="48">
                  <c:v>500.39900000000006</c:v>
                </c:pt>
                <c:pt idx="49">
                  <c:v>495.73290000000003</c:v>
                </c:pt>
                <c:pt idx="50">
                  <c:v>492.03220000000005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B52-4DD6-94F6-D00BF25035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94799744"/>
        <c:axId val="394817920"/>
      </c:lineChart>
      <c:catAx>
        <c:axId val="3947997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394817920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39481792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Billion kms</a:t>
                </a:r>
              </a:p>
            </c:rich>
          </c:tx>
          <c:overlay val="0"/>
        </c:title>
        <c:numFmt formatCode="0.0" sourceLinked="1"/>
        <c:majorTickMark val="out"/>
        <c:minorTickMark val="none"/>
        <c:tickLblPos val="nextTo"/>
        <c:crossAx val="3947997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vehicle fuel economy </a:t>
            </a:r>
            <a:r>
              <a:rPr lang="en-GB" baseline="0"/>
              <a:t>by mode</a:t>
            </a:r>
            <a:endParaRPr lang="en-GB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LDVs'!$C$229</c:f>
              <c:strCache>
                <c:ptCount val="1"/>
                <c:pt idx="0">
                  <c:v>Cars &amp; Taxis - 1000kms/toe 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LDVs'!$N$229:$BA$229</c:f>
              <c:numCache>
                <c:formatCode>0.00</c:formatCode>
                <c:ptCount val="40"/>
                <c:pt idx="0">
                  <c:v>12.770413360504575</c:v>
                </c:pt>
                <c:pt idx="1">
                  <c:v>12.863475571154616</c:v>
                </c:pt>
                <c:pt idx="2">
                  <c:v>12.735749950073343</c:v>
                </c:pt>
                <c:pt idx="3">
                  <c:v>12.561890427852854</c:v>
                </c:pt>
                <c:pt idx="4">
                  <c:v>12.688918224304851</c:v>
                </c:pt>
                <c:pt idx="5">
                  <c:v>13.085171954368173</c:v>
                </c:pt>
                <c:pt idx="6">
                  <c:v>13.110514051282163</c:v>
                </c:pt>
                <c:pt idx="7">
                  <c:v>12.972036883890848</c:v>
                </c:pt>
                <c:pt idx="8">
                  <c:v>12.728653882461597</c:v>
                </c:pt>
                <c:pt idx="9">
                  <c:v>12.431972770092653</c:v>
                </c:pt>
                <c:pt idx="10">
                  <c:v>12.911782130297878</c:v>
                </c:pt>
                <c:pt idx="11">
                  <c:v>13.48778520867859</c:v>
                </c:pt>
                <c:pt idx="12">
                  <c:v>13.504481253994898</c:v>
                </c:pt>
                <c:pt idx="13">
                  <c:v>13.45293504346118</c:v>
                </c:pt>
                <c:pt idx="14">
                  <c:v>13.710913773674353</c:v>
                </c:pt>
                <c:pt idx="15">
                  <c:v>13.920905230807538</c:v>
                </c:pt>
                <c:pt idx="16">
                  <c:v>13.919287663262216</c:v>
                </c:pt>
                <c:pt idx="17">
                  <c:v>14.423534571149501</c:v>
                </c:pt>
                <c:pt idx="18">
                  <c:v>14.692307256892025</c:v>
                </c:pt>
                <c:pt idx="19">
                  <c:v>15.475574706656293</c:v>
                </c:pt>
                <c:pt idx="20">
                  <c:v>14.924070678916152</c:v>
                </c:pt>
                <c:pt idx="21">
                  <c:v>14.946436779767327</c:v>
                </c:pt>
                <c:pt idx="22">
                  <c:v>14.745053269976687</c:v>
                </c:pt>
                <c:pt idx="23">
                  <c:v>14.584212895945685</c:v>
                </c:pt>
                <c:pt idx="24">
                  <c:v>15.025058971915756</c:v>
                </c:pt>
                <c:pt idx="25">
                  <c:v>15.483070241465436</c:v>
                </c:pt>
                <c:pt idx="26">
                  <c:v>15.230952037287661</c:v>
                </c:pt>
                <c:pt idx="27">
                  <c:v>15.329990144489351</c:v>
                </c:pt>
                <c:pt idx="28">
                  <c:v>15.672148458417229</c:v>
                </c:pt>
                <c:pt idx="29">
                  <c:v>15.65514115313071</c:v>
                </c:pt>
                <c:pt idx="30">
                  <c:v>15.64445261082828</c:v>
                </c:pt>
                <c:pt idx="31">
                  <c:v>15.863755196216916</c:v>
                </c:pt>
                <c:pt idx="32">
                  <c:v>15.918146654657487</c:v>
                </c:pt>
                <c:pt idx="33">
                  <c:v>16.137299336197234</c:v>
                </c:pt>
                <c:pt idx="34">
                  <c:v>16.214523512519648</c:v>
                </c:pt>
                <c:pt idx="35">
                  <c:v>16.136761748749077</c:v>
                </c:pt>
                <c:pt idx="36">
                  <c:v>16.425597829510071</c:v>
                </c:pt>
                <c:pt idx="37">
                  <c:v>16.388827320333299</c:v>
                </c:pt>
                <c:pt idx="38">
                  <c:v>16.725477583037655</c:v>
                </c:pt>
                <c:pt idx="39">
                  <c:v>17.19543624094316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7F-47AD-BEAA-8182A9CEC1C7}"/>
            </c:ext>
          </c:extLst>
        </c:ser>
        <c:ser>
          <c:idx val="1"/>
          <c:order val="1"/>
          <c:tx>
            <c:strRef>
              <c:f>'1_UK stats LDVs'!$C$241</c:f>
              <c:strCache>
                <c:ptCount val="1"/>
                <c:pt idx="0">
                  <c:v>Light vans - 1000kms/toe 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LDVs'!$N$241:$BA$241</c:f>
              <c:numCache>
                <c:formatCode>0.00</c:formatCode>
                <c:ptCount val="40"/>
                <c:pt idx="0">
                  <c:v>9.9588011426233987</c:v>
                </c:pt>
                <c:pt idx="1">
                  <c:v>10.116619000132593</c:v>
                </c:pt>
                <c:pt idx="2">
                  <c:v>10.160604085448682</c:v>
                </c:pt>
                <c:pt idx="3">
                  <c:v>10.089181137939953</c:v>
                </c:pt>
                <c:pt idx="4">
                  <c:v>10.16794982880371</c:v>
                </c:pt>
                <c:pt idx="5">
                  <c:v>10.498944375788678</c:v>
                </c:pt>
                <c:pt idx="6">
                  <c:v>10.573075824797826</c:v>
                </c:pt>
                <c:pt idx="7">
                  <c:v>10.476904711252567</c:v>
                </c:pt>
                <c:pt idx="8">
                  <c:v>10.450238672254052</c:v>
                </c:pt>
                <c:pt idx="9">
                  <c:v>10.268451501964396</c:v>
                </c:pt>
                <c:pt idx="10">
                  <c:v>10.734158513862551</c:v>
                </c:pt>
                <c:pt idx="11">
                  <c:v>11.181481666865068</c:v>
                </c:pt>
                <c:pt idx="12">
                  <c:v>11.137770665451541</c:v>
                </c:pt>
                <c:pt idx="13">
                  <c:v>11.040277678494256</c:v>
                </c:pt>
                <c:pt idx="14">
                  <c:v>11.082838741376978</c:v>
                </c:pt>
                <c:pt idx="15">
                  <c:v>11.280506630897554</c:v>
                </c:pt>
                <c:pt idx="16">
                  <c:v>11.02824288735524</c:v>
                </c:pt>
                <c:pt idx="17">
                  <c:v>11.404804294005704</c:v>
                </c:pt>
                <c:pt idx="18">
                  <c:v>11.567964208419065</c:v>
                </c:pt>
                <c:pt idx="19">
                  <c:v>10.460097294445267</c:v>
                </c:pt>
                <c:pt idx="20">
                  <c:v>10.931028462995789</c:v>
                </c:pt>
                <c:pt idx="21">
                  <c:v>11.0392703338541</c:v>
                </c:pt>
                <c:pt idx="22">
                  <c:v>10.785913397330875</c:v>
                </c:pt>
                <c:pt idx="23">
                  <c:v>10.684561580309968</c:v>
                </c:pt>
                <c:pt idx="24">
                  <c:v>10.681685171652722</c:v>
                </c:pt>
                <c:pt idx="25">
                  <c:v>10.99654394241947</c:v>
                </c:pt>
                <c:pt idx="26">
                  <c:v>10.854994611875822</c:v>
                </c:pt>
                <c:pt idx="27">
                  <c:v>10.957433103944659</c:v>
                </c:pt>
                <c:pt idx="28">
                  <c:v>11.266712745703174</c:v>
                </c:pt>
                <c:pt idx="29">
                  <c:v>11.484026193072612</c:v>
                </c:pt>
                <c:pt idx="30">
                  <c:v>11.602739135581544</c:v>
                </c:pt>
                <c:pt idx="31">
                  <c:v>11.877212437248474</c:v>
                </c:pt>
                <c:pt idx="32">
                  <c:v>11.99262455903491</c:v>
                </c:pt>
                <c:pt idx="33">
                  <c:v>12.234982949357875</c:v>
                </c:pt>
                <c:pt idx="34">
                  <c:v>12.446602770232714</c:v>
                </c:pt>
                <c:pt idx="35">
                  <c:v>12.434804765572165</c:v>
                </c:pt>
                <c:pt idx="36">
                  <c:v>12.588170516751022</c:v>
                </c:pt>
                <c:pt idx="37">
                  <c:v>12.755634795253401</c:v>
                </c:pt>
                <c:pt idx="38">
                  <c:v>13.344150047401628</c:v>
                </c:pt>
                <c:pt idx="39">
                  <c:v>13.242462322090308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7F-47AD-BEAA-8182A9CEC1C7}"/>
            </c:ext>
          </c:extLst>
        </c:ser>
        <c:ser>
          <c:idx val="2"/>
          <c:order val="2"/>
          <c:tx>
            <c:strRef>
              <c:f>'1_UK stats LDVs'!$C$265</c:f>
              <c:strCache>
                <c:ptCount val="1"/>
                <c:pt idx="0">
                  <c:v>Goods vehicles - 1000kms/toe (total)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LDVs'!$N$265:$BA$265</c:f>
              <c:numCache>
                <c:formatCode>0.00</c:formatCode>
                <c:ptCount val="40"/>
                <c:pt idx="0">
                  <c:v>5.0608663641973033</c:v>
                </c:pt>
                <c:pt idx="1">
                  <c:v>5.0229619388991171</c:v>
                </c:pt>
                <c:pt idx="2">
                  <c:v>5.0515389524613594</c:v>
                </c:pt>
                <c:pt idx="3">
                  <c:v>4.9007777280078901</c:v>
                </c:pt>
                <c:pt idx="4">
                  <c:v>4.817357768931001</c:v>
                </c:pt>
                <c:pt idx="5">
                  <c:v>4.800820280496076</c:v>
                </c:pt>
                <c:pt idx="6">
                  <c:v>4.8132580611378071</c:v>
                </c:pt>
                <c:pt idx="7">
                  <c:v>4.6415048767339515</c:v>
                </c:pt>
                <c:pt idx="8">
                  <c:v>4.6488933328077042</c:v>
                </c:pt>
                <c:pt idx="9">
                  <c:v>4.5264023655965984</c:v>
                </c:pt>
                <c:pt idx="10">
                  <c:v>4.7677792573658211</c:v>
                </c:pt>
                <c:pt idx="11">
                  <c:v>4.8871781804855079</c:v>
                </c:pt>
                <c:pt idx="12">
                  <c:v>4.6450369598416925</c:v>
                </c:pt>
                <c:pt idx="13">
                  <c:v>4.4182982489080498</c:v>
                </c:pt>
                <c:pt idx="14">
                  <c:v>4.2024918583068125</c:v>
                </c:pt>
                <c:pt idx="15">
                  <c:v>3.9448228035279</c:v>
                </c:pt>
                <c:pt idx="16">
                  <c:v>3.6325615199591779</c:v>
                </c:pt>
                <c:pt idx="17">
                  <c:v>3.7948912304613325</c:v>
                </c:pt>
                <c:pt idx="18">
                  <c:v>3.7027678877860968</c:v>
                </c:pt>
                <c:pt idx="19">
                  <c:v>3.9596631524608328</c:v>
                </c:pt>
                <c:pt idx="20">
                  <c:v>3.9142435806022595</c:v>
                </c:pt>
                <c:pt idx="21">
                  <c:v>4.0375539161885401</c:v>
                </c:pt>
                <c:pt idx="22">
                  <c:v>3.9480390990322562</c:v>
                </c:pt>
                <c:pt idx="23">
                  <c:v>3.9707561112346323</c:v>
                </c:pt>
                <c:pt idx="24">
                  <c:v>3.9244504416065586</c:v>
                </c:pt>
                <c:pt idx="25">
                  <c:v>4.0892441410872635</c:v>
                </c:pt>
                <c:pt idx="26">
                  <c:v>4.0977398081536807</c:v>
                </c:pt>
                <c:pt idx="27">
                  <c:v>4.186361050837446</c:v>
                </c:pt>
                <c:pt idx="28">
                  <c:v>4.357346382148422</c:v>
                </c:pt>
                <c:pt idx="29">
                  <c:v>4.5122897867759963</c:v>
                </c:pt>
                <c:pt idx="30">
                  <c:v>4.5826356499769272</c:v>
                </c:pt>
                <c:pt idx="31">
                  <c:v>4.5613567407578213</c:v>
                </c:pt>
                <c:pt idx="32">
                  <c:v>4.5008273703274568</c:v>
                </c:pt>
                <c:pt idx="33">
                  <c:v>4.4776881035907881</c:v>
                </c:pt>
                <c:pt idx="34">
                  <c:v>4.5214305116045175</c:v>
                </c:pt>
                <c:pt idx="35">
                  <c:v>4.420202257970403</c:v>
                </c:pt>
                <c:pt idx="36">
                  <c:v>4.4132371988401484</c:v>
                </c:pt>
                <c:pt idx="37">
                  <c:v>4.4224305906284327</c:v>
                </c:pt>
                <c:pt idx="38">
                  <c:v>4.6515029361652545</c:v>
                </c:pt>
                <c:pt idx="39">
                  <c:v>4.6307133129602516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7F-47AD-BEAA-8182A9CEC1C7}"/>
            </c:ext>
          </c:extLst>
        </c:ser>
        <c:ser>
          <c:idx val="3"/>
          <c:order val="3"/>
          <c:tx>
            <c:strRef>
              <c:f>'1_UK stats LDVs'!$C$270</c:f>
              <c:strCache>
                <c:ptCount val="1"/>
                <c:pt idx="0">
                  <c:v>Motorcycles - 1000kms/toe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LDVs'!$N$270:$BA$270</c:f>
              <c:numCache>
                <c:formatCode>0.00</c:formatCode>
                <c:ptCount val="40"/>
                <c:pt idx="0">
                  <c:v>19.745690767990428</c:v>
                </c:pt>
                <c:pt idx="1">
                  <c:v>19.601411899471714</c:v>
                </c:pt>
                <c:pt idx="2">
                  <c:v>20.162668847614061</c:v>
                </c:pt>
                <c:pt idx="3">
                  <c:v>19.775803588255776</c:v>
                </c:pt>
                <c:pt idx="4">
                  <c:v>19.916942978102949</c:v>
                </c:pt>
                <c:pt idx="5">
                  <c:v>21.150233958491096</c:v>
                </c:pt>
                <c:pt idx="6">
                  <c:v>20.591454341550484</c:v>
                </c:pt>
                <c:pt idx="7">
                  <c:v>20.874505107727085</c:v>
                </c:pt>
                <c:pt idx="8">
                  <c:v>20.183342861668759</c:v>
                </c:pt>
                <c:pt idx="9">
                  <c:v>19.944898187488167</c:v>
                </c:pt>
                <c:pt idx="10">
                  <c:v>20.728824572595858</c:v>
                </c:pt>
                <c:pt idx="11">
                  <c:v>21.447215961504764</c:v>
                </c:pt>
                <c:pt idx="12">
                  <c:v>21.400247457331027</c:v>
                </c:pt>
                <c:pt idx="13">
                  <c:v>21.577542354091477</c:v>
                </c:pt>
                <c:pt idx="14">
                  <c:v>21.500118794645509</c:v>
                </c:pt>
                <c:pt idx="15">
                  <c:v>22.137527546196534</c:v>
                </c:pt>
                <c:pt idx="16">
                  <c:v>22.090846283663051</c:v>
                </c:pt>
                <c:pt idx="17">
                  <c:v>22.968081012566422</c:v>
                </c:pt>
                <c:pt idx="18">
                  <c:v>22.914333827205379</c:v>
                </c:pt>
                <c:pt idx="19">
                  <c:v>24.704883241701957</c:v>
                </c:pt>
                <c:pt idx="20">
                  <c:v>23.810487192544318</c:v>
                </c:pt>
                <c:pt idx="21">
                  <c:v>23.910380168947608</c:v>
                </c:pt>
                <c:pt idx="22">
                  <c:v>23.089331369753783</c:v>
                </c:pt>
                <c:pt idx="23">
                  <c:v>22.397329401182031</c:v>
                </c:pt>
                <c:pt idx="24">
                  <c:v>22.954465196796981</c:v>
                </c:pt>
                <c:pt idx="25">
                  <c:v>23.473668131567063</c:v>
                </c:pt>
                <c:pt idx="26">
                  <c:v>22.591532659875</c:v>
                </c:pt>
                <c:pt idx="27">
                  <c:v>22.905575066410353</c:v>
                </c:pt>
                <c:pt idx="28">
                  <c:v>23.169342123435392</c:v>
                </c:pt>
                <c:pt idx="29">
                  <c:v>22.525100815321078</c:v>
                </c:pt>
                <c:pt idx="30">
                  <c:v>22.556862256180793</c:v>
                </c:pt>
                <c:pt idx="31">
                  <c:v>23.614162541885335</c:v>
                </c:pt>
                <c:pt idx="32">
                  <c:v>23.382014151536541</c:v>
                </c:pt>
                <c:pt idx="33">
                  <c:v>23.547614012652826</c:v>
                </c:pt>
                <c:pt idx="34">
                  <c:v>24.231255228129456</c:v>
                </c:pt>
                <c:pt idx="35">
                  <c:v>23.88548704140317</c:v>
                </c:pt>
                <c:pt idx="36">
                  <c:v>24.873857347615765</c:v>
                </c:pt>
                <c:pt idx="37">
                  <c:v>24.782838604916076</c:v>
                </c:pt>
                <c:pt idx="38">
                  <c:v>24.680318732439392</c:v>
                </c:pt>
                <c:pt idx="39">
                  <c:v>26.196222317500148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87F-47AD-BEAA-8182A9CEC1C7}"/>
            </c:ext>
          </c:extLst>
        </c:ser>
        <c:ser>
          <c:idx val="4"/>
          <c:order val="4"/>
          <c:tx>
            <c:strRef>
              <c:f>'1_UK stats LDVs'!$C$276</c:f>
              <c:strCache>
                <c:ptCount val="1"/>
                <c:pt idx="0">
                  <c:v>Buses &amp; Coaches - 1000kms/toe</c:v>
                </c:pt>
              </c:strCache>
            </c:strRef>
          </c:tx>
          <c:marker>
            <c:symbol val="none"/>
          </c:marker>
          <c:cat>
            <c:numRef>
              <c:f>'1_UK stats LDVs'!$N$127:$BA$127</c:f>
              <c:numCache>
                <c:formatCode>General</c:formatCode>
                <c:ptCount val="40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</c:numCache>
            </c:numRef>
          </c:cat>
          <c:val>
            <c:numRef>
              <c:f>'1_UK stats LDVs'!$N$276:$BA$276</c:f>
              <c:numCache>
                <c:formatCode>0.00</c:formatCode>
                <c:ptCount val="40"/>
                <c:pt idx="0">
                  <c:v>3.6216929385254524</c:v>
                </c:pt>
                <c:pt idx="1">
                  <c:v>3.6136125003404644</c:v>
                </c:pt>
                <c:pt idx="2">
                  <c:v>3.6463801991509159</c:v>
                </c:pt>
                <c:pt idx="3">
                  <c:v>3.5357129171942057</c:v>
                </c:pt>
                <c:pt idx="4">
                  <c:v>3.6661325755117691</c:v>
                </c:pt>
                <c:pt idx="5">
                  <c:v>3.5830951911484972</c:v>
                </c:pt>
                <c:pt idx="6">
                  <c:v>3.7039485811291488</c:v>
                </c:pt>
                <c:pt idx="7">
                  <c:v>3.5292888061775138</c:v>
                </c:pt>
                <c:pt idx="8">
                  <c:v>3.6605414026129788</c:v>
                </c:pt>
                <c:pt idx="9">
                  <c:v>3.580407783152324</c:v>
                </c:pt>
                <c:pt idx="10">
                  <c:v>3.6435235151702026</c:v>
                </c:pt>
                <c:pt idx="11">
                  <c:v>3.754731905179113</c:v>
                </c:pt>
                <c:pt idx="12">
                  <c:v>3.5691851418865941</c:v>
                </c:pt>
                <c:pt idx="13">
                  <c:v>3.3718460967998065</c:v>
                </c:pt>
                <c:pt idx="14">
                  <c:v>3.2388004105545281</c:v>
                </c:pt>
                <c:pt idx="15">
                  <c:v>3.1350950461651119</c:v>
                </c:pt>
                <c:pt idx="16">
                  <c:v>2.8876445511990947</c:v>
                </c:pt>
                <c:pt idx="17">
                  <c:v>2.9414889086904963</c:v>
                </c:pt>
                <c:pt idx="18">
                  <c:v>2.951793887761581</c:v>
                </c:pt>
                <c:pt idx="19">
                  <c:v>2.7917755803370592</c:v>
                </c:pt>
                <c:pt idx="20">
                  <c:v>2.8417880687306716</c:v>
                </c:pt>
                <c:pt idx="21">
                  <c:v>2.8667249049805155</c:v>
                </c:pt>
                <c:pt idx="22">
                  <c:v>2.806383049846104</c:v>
                </c:pt>
                <c:pt idx="23">
                  <c:v>2.811591108937213</c:v>
                </c:pt>
                <c:pt idx="24">
                  <c:v>2.7748017173172275</c:v>
                </c:pt>
                <c:pt idx="25">
                  <c:v>2.8298358246340167</c:v>
                </c:pt>
                <c:pt idx="26">
                  <c:v>2.8878046635727705</c:v>
                </c:pt>
                <c:pt idx="27">
                  <c:v>2.9793744187359854</c:v>
                </c:pt>
                <c:pt idx="28">
                  <c:v>3.1544041118065369</c:v>
                </c:pt>
                <c:pt idx="29">
                  <c:v>3.2557772118535793</c:v>
                </c:pt>
                <c:pt idx="30">
                  <c:v>3.3637625941070342</c:v>
                </c:pt>
                <c:pt idx="31">
                  <c:v>3.4465515901640567</c:v>
                </c:pt>
                <c:pt idx="32">
                  <c:v>3.457484232575037</c:v>
                </c:pt>
                <c:pt idx="33">
                  <c:v>3.4737764609009965</c:v>
                </c:pt>
                <c:pt idx="34">
                  <c:v>3.5236269543008101</c:v>
                </c:pt>
                <c:pt idx="35">
                  <c:v>3.5345441270544002</c:v>
                </c:pt>
                <c:pt idx="36">
                  <c:v>3.5955490001662866</c:v>
                </c:pt>
                <c:pt idx="37">
                  <c:v>3.6413236568254099</c:v>
                </c:pt>
                <c:pt idx="38">
                  <c:v>3.7474213690588338</c:v>
                </c:pt>
                <c:pt idx="39">
                  <c:v>3.7597059491270133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87F-47AD-BEAA-8182A9CEC1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03984128"/>
        <c:axId val="503985664"/>
      </c:lineChart>
      <c:catAx>
        <c:axId val="503984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03985664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0398566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vehicle fuel economy 1000km/toe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039841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vehicle</a:t>
            </a:r>
            <a:r>
              <a:rPr lang="en-GB" baseline="0"/>
              <a:t> fuel economy 1970-2009</a:t>
            </a:r>
            <a:endParaRPr lang="en-GB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LDVs'!$C$229</c:f>
              <c:strCache>
                <c:ptCount val="1"/>
                <c:pt idx="0">
                  <c:v>Cars &amp; Taxis - 1000kms/toe 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LDVs'!$N$229:$BA$229</c:f>
              <c:numCache>
                <c:formatCode>0.00</c:formatCode>
                <c:ptCount val="40"/>
                <c:pt idx="0">
                  <c:v>12.770413360504575</c:v>
                </c:pt>
                <c:pt idx="1">
                  <c:v>12.863475571154616</c:v>
                </c:pt>
                <c:pt idx="2">
                  <c:v>12.735749950073343</c:v>
                </c:pt>
                <c:pt idx="3">
                  <c:v>12.561890427852854</c:v>
                </c:pt>
                <c:pt idx="4">
                  <c:v>12.688918224304851</c:v>
                </c:pt>
                <c:pt idx="5">
                  <c:v>13.085171954368173</c:v>
                </c:pt>
                <c:pt idx="6">
                  <c:v>13.110514051282163</c:v>
                </c:pt>
                <c:pt idx="7">
                  <c:v>12.972036883890848</c:v>
                </c:pt>
                <c:pt idx="8">
                  <c:v>12.728653882461597</c:v>
                </c:pt>
                <c:pt idx="9">
                  <c:v>12.431972770092653</c:v>
                </c:pt>
                <c:pt idx="10">
                  <c:v>12.911782130297878</c:v>
                </c:pt>
                <c:pt idx="11">
                  <c:v>13.48778520867859</c:v>
                </c:pt>
                <c:pt idx="12">
                  <c:v>13.504481253994898</c:v>
                </c:pt>
                <c:pt idx="13">
                  <c:v>13.45293504346118</c:v>
                </c:pt>
                <c:pt idx="14">
                  <c:v>13.710913773674353</c:v>
                </c:pt>
                <c:pt idx="15">
                  <c:v>13.920905230807538</c:v>
                </c:pt>
                <c:pt idx="16">
                  <c:v>13.919287663262216</c:v>
                </c:pt>
                <c:pt idx="17">
                  <c:v>14.423534571149501</c:v>
                </c:pt>
                <c:pt idx="18">
                  <c:v>14.692307256892025</c:v>
                </c:pt>
                <c:pt idx="19">
                  <c:v>15.475574706656293</c:v>
                </c:pt>
                <c:pt idx="20">
                  <c:v>14.924070678916152</c:v>
                </c:pt>
                <c:pt idx="21">
                  <c:v>14.946436779767327</c:v>
                </c:pt>
                <c:pt idx="22">
                  <c:v>14.745053269976687</c:v>
                </c:pt>
                <c:pt idx="23">
                  <c:v>14.584212895945685</c:v>
                </c:pt>
                <c:pt idx="24">
                  <c:v>15.025058971915756</c:v>
                </c:pt>
                <c:pt idx="25">
                  <c:v>15.483070241465436</c:v>
                </c:pt>
                <c:pt idx="26">
                  <c:v>15.230952037287661</c:v>
                </c:pt>
                <c:pt idx="27">
                  <c:v>15.329990144489351</c:v>
                </c:pt>
                <c:pt idx="28">
                  <c:v>15.672148458417229</c:v>
                </c:pt>
                <c:pt idx="29">
                  <c:v>15.65514115313071</c:v>
                </c:pt>
                <c:pt idx="30">
                  <c:v>15.64445261082828</c:v>
                </c:pt>
                <c:pt idx="31">
                  <c:v>15.863755196216916</c:v>
                </c:pt>
                <c:pt idx="32">
                  <c:v>15.918146654657487</c:v>
                </c:pt>
                <c:pt idx="33">
                  <c:v>16.137299336197234</c:v>
                </c:pt>
                <c:pt idx="34">
                  <c:v>16.214523512519648</c:v>
                </c:pt>
                <c:pt idx="35">
                  <c:v>16.136761748749077</c:v>
                </c:pt>
                <c:pt idx="36">
                  <c:v>16.425597829510071</c:v>
                </c:pt>
                <c:pt idx="37">
                  <c:v>16.388827320333299</c:v>
                </c:pt>
                <c:pt idx="38">
                  <c:v>16.725477583037655</c:v>
                </c:pt>
                <c:pt idx="39">
                  <c:v>17.19543624094316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A0-43B5-9AD7-7791FB1B7268}"/>
            </c:ext>
          </c:extLst>
        </c:ser>
        <c:ser>
          <c:idx val="1"/>
          <c:order val="1"/>
          <c:tx>
            <c:strRef>
              <c:f>'1_UK stats LDVs'!$C$231</c:f>
              <c:strCache>
                <c:ptCount val="1"/>
                <c:pt idx="0">
                  <c:v>Cars &amp; Taxis - 1000kms/toe (DERV)</c:v>
                </c:pt>
              </c:strCache>
            </c:strRef>
          </c:tx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LDVs'!$N$231:$BA$231</c:f>
              <c:numCache>
                <c:formatCode>0.00</c:formatCode>
                <c:ptCount val="40"/>
                <c:pt idx="0">
                  <c:v>15.927662757418929</c:v>
                </c:pt>
                <c:pt idx="1">
                  <c:v>16.043162673485078</c:v>
                </c:pt>
                <c:pt idx="2">
                  <c:v>15.884241740877915</c:v>
                </c:pt>
                <c:pt idx="3">
                  <c:v>15.666440732441734</c:v>
                </c:pt>
                <c:pt idx="4">
                  <c:v>15.824966771530418</c:v>
                </c:pt>
                <c:pt idx="5">
                  <c:v>16.318239185699362</c:v>
                </c:pt>
                <c:pt idx="6">
                  <c:v>16.350379503457312</c:v>
                </c:pt>
                <c:pt idx="7">
                  <c:v>16.176790066032272</c:v>
                </c:pt>
                <c:pt idx="8">
                  <c:v>15.874397881865567</c:v>
                </c:pt>
                <c:pt idx="9">
                  <c:v>15.504666409103992</c:v>
                </c:pt>
                <c:pt idx="10">
                  <c:v>16.102949848446475</c:v>
                </c:pt>
                <c:pt idx="11">
                  <c:v>16.820664591756934</c:v>
                </c:pt>
                <c:pt idx="12">
                  <c:v>16.839533752531857</c:v>
                </c:pt>
                <c:pt idx="13">
                  <c:v>16.773429153191099</c:v>
                </c:pt>
                <c:pt idx="14">
                  <c:v>17.092266272496612</c:v>
                </c:pt>
                <c:pt idx="15">
                  <c:v>17.350994783206417</c:v>
                </c:pt>
                <c:pt idx="16">
                  <c:v>17.344768969638348</c:v>
                </c:pt>
                <c:pt idx="17">
                  <c:v>17.949127866313518</c:v>
                </c:pt>
                <c:pt idx="18">
                  <c:v>18.272407638107271</c:v>
                </c:pt>
                <c:pt idx="19">
                  <c:v>19.210138041006907</c:v>
                </c:pt>
                <c:pt idx="20">
                  <c:v>18.453045983779461</c:v>
                </c:pt>
                <c:pt idx="21">
                  <c:v>18.453621876896726</c:v>
                </c:pt>
                <c:pt idx="22">
                  <c:v>18.151803052583983</c:v>
                </c:pt>
                <c:pt idx="23">
                  <c:v>17.881842987656562</c:v>
                </c:pt>
                <c:pt idx="24">
                  <c:v>18.309475157403973</c:v>
                </c:pt>
                <c:pt idx="25">
                  <c:v>18.780221523189184</c:v>
                </c:pt>
                <c:pt idx="26">
                  <c:v>18.41753364611111</c:v>
                </c:pt>
                <c:pt idx="27">
                  <c:v>18.486562380381205</c:v>
                </c:pt>
                <c:pt idx="28">
                  <c:v>18.872106532131259</c:v>
                </c:pt>
                <c:pt idx="29">
                  <c:v>18.800768734135598</c:v>
                </c:pt>
                <c:pt idx="30">
                  <c:v>18.753606154390017</c:v>
                </c:pt>
                <c:pt idx="31">
                  <c:v>18.955565395282566</c:v>
                </c:pt>
                <c:pt idx="32">
                  <c:v>18.939447762008001</c:v>
                </c:pt>
                <c:pt idx="33">
                  <c:v>19.102965866448741</c:v>
                </c:pt>
                <c:pt idx="34">
                  <c:v>19.10414173176742</c:v>
                </c:pt>
                <c:pt idx="35">
                  <c:v>18.905584972433335</c:v>
                </c:pt>
                <c:pt idx="36">
                  <c:v>19.124003017354543</c:v>
                </c:pt>
                <c:pt idx="37">
                  <c:v>18.984283008159952</c:v>
                </c:pt>
                <c:pt idx="38">
                  <c:v>19.270682992761408</c:v>
                </c:pt>
                <c:pt idx="39">
                  <c:v>19.733472710376542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A0-43B5-9AD7-7791FB1B7268}"/>
            </c:ext>
          </c:extLst>
        </c:ser>
        <c:ser>
          <c:idx val="2"/>
          <c:order val="2"/>
          <c:tx>
            <c:strRef>
              <c:f>'1_UK stats LDVs'!$C$230</c:f>
              <c:strCache>
                <c:ptCount val="1"/>
                <c:pt idx="0">
                  <c:v>Cars &amp; Taxis - 1000kms/toe (Petrol)</c:v>
                </c:pt>
              </c:strCache>
            </c:strRef>
          </c:tx>
          <c:spPr>
            <a:ln>
              <a:solidFill>
                <a:schemeClr val="accent2">
                  <a:lumMod val="60000"/>
                  <a:lumOff val="40000"/>
                </a:schemeClr>
              </a:solidFill>
            </a:ln>
          </c:spPr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LDVs'!$N$230:$BA$230</c:f>
              <c:numCache>
                <c:formatCode>0.00</c:formatCode>
                <c:ptCount val="40"/>
                <c:pt idx="0">
                  <c:v>12.74213020593514</c:v>
                </c:pt>
                <c:pt idx="1">
                  <c:v>12.834530138788063</c:v>
                </c:pt>
                <c:pt idx="2">
                  <c:v>12.707393392702333</c:v>
                </c:pt>
                <c:pt idx="3">
                  <c:v>12.533152585953388</c:v>
                </c:pt>
                <c:pt idx="4">
                  <c:v>12.659973417224334</c:v>
                </c:pt>
                <c:pt idx="5">
                  <c:v>13.054591348559491</c:v>
                </c:pt>
                <c:pt idx="6">
                  <c:v>13.08030360276585</c:v>
                </c:pt>
                <c:pt idx="7">
                  <c:v>12.941432052825817</c:v>
                </c:pt>
                <c:pt idx="8">
                  <c:v>12.699518305492454</c:v>
                </c:pt>
                <c:pt idx="9">
                  <c:v>12.403733127283193</c:v>
                </c:pt>
                <c:pt idx="10">
                  <c:v>12.88235987875718</c:v>
                </c:pt>
                <c:pt idx="11">
                  <c:v>13.45653167340555</c:v>
                </c:pt>
                <c:pt idx="12">
                  <c:v>13.471627002025482</c:v>
                </c:pt>
                <c:pt idx="13">
                  <c:v>13.41874332255288</c:v>
                </c:pt>
                <c:pt idx="14">
                  <c:v>13.67381301799729</c:v>
                </c:pt>
                <c:pt idx="15">
                  <c:v>13.88079582656513</c:v>
                </c:pt>
                <c:pt idx="16">
                  <c:v>13.875815175710677</c:v>
                </c:pt>
                <c:pt idx="17">
                  <c:v>14.359302293050815</c:v>
                </c:pt>
                <c:pt idx="18">
                  <c:v>14.617926110485817</c:v>
                </c:pt>
                <c:pt idx="19">
                  <c:v>15.368110432805528</c:v>
                </c:pt>
                <c:pt idx="20">
                  <c:v>14.762436787023567</c:v>
                </c:pt>
                <c:pt idx="21">
                  <c:v>14.762897501517381</c:v>
                </c:pt>
                <c:pt idx="22">
                  <c:v>14.521442442067187</c:v>
                </c:pt>
                <c:pt idx="23">
                  <c:v>14.30547439012525</c:v>
                </c:pt>
                <c:pt idx="24">
                  <c:v>14.647580125923175</c:v>
                </c:pt>
                <c:pt idx="25">
                  <c:v>15.024177218551349</c:v>
                </c:pt>
                <c:pt idx="26">
                  <c:v>14.734026916888887</c:v>
                </c:pt>
                <c:pt idx="27">
                  <c:v>14.789249904304961</c:v>
                </c:pt>
                <c:pt idx="28">
                  <c:v>15.097685225705007</c:v>
                </c:pt>
                <c:pt idx="29">
                  <c:v>15.040614987308478</c:v>
                </c:pt>
                <c:pt idx="30">
                  <c:v>15.002884923512017</c:v>
                </c:pt>
                <c:pt idx="31">
                  <c:v>15.16445231622605</c:v>
                </c:pt>
                <c:pt idx="32">
                  <c:v>15.151558209606399</c:v>
                </c:pt>
                <c:pt idx="33">
                  <c:v>15.282372693158992</c:v>
                </c:pt>
                <c:pt idx="34">
                  <c:v>15.283313385413933</c:v>
                </c:pt>
                <c:pt idx="35">
                  <c:v>15.124467977946669</c:v>
                </c:pt>
                <c:pt idx="36">
                  <c:v>15.299202413883636</c:v>
                </c:pt>
                <c:pt idx="37">
                  <c:v>15.187426406527958</c:v>
                </c:pt>
                <c:pt idx="38">
                  <c:v>15.416546394209128</c:v>
                </c:pt>
                <c:pt idx="39">
                  <c:v>15.786778168301231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3A0-43B5-9AD7-7791FB1B7268}"/>
            </c:ext>
          </c:extLst>
        </c:ser>
        <c:ser>
          <c:idx val="3"/>
          <c:order val="3"/>
          <c:tx>
            <c:strRef>
              <c:f>'1_UK stats LDVs'!$C$241</c:f>
              <c:strCache>
                <c:ptCount val="1"/>
                <c:pt idx="0">
                  <c:v>Light vans - 1000kms/toe </c:v>
                </c:pt>
              </c:strCache>
            </c:strRef>
          </c:tx>
          <c:spPr>
            <a:ln>
              <a:solidFill>
                <a:srgbClr val="002060"/>
              </a:solidFill>
            </a:ln>
          </c:spPr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LDVs'!$N$241:$BA$241</c:f>
              <c:numCache>
                <c:formatCode>0.00</c:formatCode>
                <c:ptCount val="40"/>
                <c:pt idx="0">
                  <c:v>9.9588011426233987</c:v>
                </c:pt>
                <c:pt idx="1">
                  <c:v>10.116619000132593</c:v>
                </c:pt>
                <c:pt idx="2">
                  <c:v>10.160604085448682</c:v>
                </c:pt>
                <c:pt idx="3">
                  <c:v>10.089181137939953</c:v>
                </c:pt>
                <c:pt idx="4">
                  <c:v>10.16794982880371</c:v>
                </c:pt>
                <c:pt idx="5">
                  <c:v>10.498944375788678</c:v>
                </c:pt>
                <c:pt idx="6">
                  <c:v>10.573075824797826</c:v>
                </c:pt>
                <c:pt idx="7">
                  <c:v>10.476904711252567</c:v>
                </c:pt>
                <c:pt idx="8">
                  <c:v>10.450238672254052</c:v>
                </c:pt>
                <c:pt idx="9">
                  <c:v>10.268451501964396</c:v>
                </c:pt>
                <c:pt idx="10">
                  <c:v>10.734158513862551</c:v>
                </c:pt>
                <c:pt idx="11">
                  <c:v>11.181481666865068</c:v>
                </c:pt>
                <c:pt idx="12">
                  <c:v>11.137770665451541</c:v>
                </c:pt>
                <c:pt idx="13">
                  <c:v>11.040277678494256</c:v>
                </c:pt>
                <c:pt idx="14">
                  <c:v>11.082838741376978</c:v>
                </c:pt>
                <c:pt idx="15">
                  <c:v>11.280506630897554</c:v>
                </c:pt>
                <c:pt idx="16">
                  <c:v>11.02824288735524</c:v>
                </c:pt>
                <c:pt idx="17">
                  <c:v>11.404804294005704</c:v>
                </c:pt>
                <c:pt idx="18">
                  <c:v>11.567964208419065</c:v>
                </c:pt>
                <c:pt idx="19">
                  <c:v>10.460097294445267</c:v>
                </c:pt>
                <c:pt idx="20">
                  <c:v>10.931028462995789</c:v>
                </c:pt>
                <c:pt idx="21">
                  <c:v>11.0392703338541</c:v>
                </c:pt>
                <c:pt idx="22">
                  <c:v>10.785913397330875</c:v>
                </c:pt>
                <c:pt idx="23">
                  <c:v>10.684561580309968</c:v>
                </c:pt>
                <c:pt idx="24">
                  <c:v>10.681685171652722</c:v>
                </c:pt>
                <c:pt idx="25">
                  <c:v>10.99654394241947</c:v>
                </c:pt>
                <c:pt idx="26">
                  <c:v>10.854994611875822</c:v>
                </c:pt>
                <c:pt idx="27">
                  <c:v>10.957433103944659</c:v>
                </c:pt>
                <c:pt idx="28">
                  <c:v>11.266712745703174</c:v>
                </c:pt>
                <c:pt idx="29">
                  <c:v>11.484026193072612</c:v>
                </c:pt>
                <c:pt idx="30">
                  <c:v>11.602739135581544</c:v>
                </c:pt>
                <c:pt idx="31">
                  <c:v>11.877212437248474</c:v>
                </c:pt>
                <c:pt idx="32">
                  <c:v>11.99262455903491</c:v>
                </c:pt>
                <c:pt idx="33">
                  <c:v>12.234982949357875</c:v>
                </c:pt>
                <c:pt idx="34">
                  <c:v>12.446602770232714</c:v>
                </c:pt>
                <c:pt idx="35">
                  <c:v>12.434804765572165</c:v>
                </c:pt>
                <c:pt idx="36">
                  <c:v>12.588170516751022</c:v>
                </c:pt>
                <c:pt idx="37">
                  <c:v>12.755634795253401</c:v>
                </c:pt>
                <c:pt idx="38">
                  <c:v>13.344150047401628</c:v>
                </c:pt>
                <c:pt idx="39">
                  <c:v>13.242462322090308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A0-43B5-9AD7-7791FB1B7268}"/>
            </c:ext>
          </c:extLst>
        </c:ser>
        <c:ser>
          <c:idx val="4"/>
          <c:order val="4"/>
          <c:tx>
            <c:strRef>
              <c:f>'1_UK stats LDVs'!$C$243</c:f>
              <c:strCache>
                <c:ptCount val="1"/>
                <c:pt idx="0">
                  <c:v>Light vans - 1000kms/toe (DERV)</c:v>
                </c:pt>
              </c:strCache>
            </c:strRef>
          </c:tx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LDVs'!$N$243:$BA$243</c:f>
              <c:numCache>
                <c:formatCode>0.00</c:formatCode>
                <c:ptCount val="40"/>
                <c:pt idx="0">
                  <c:v>12.070843784529567</c:v>
                </c:pt>
                <c:pt idx="1">
                  <c:v>12.244510898796259</c:v>
                </c:pt>
                <c:pt idx="2">
                  <c:v>12.283658858399525</c:v>
                </c:pt>
                <c:pt idx="3">
                  <c:v>12.177823110781377</c:v>
                </c:pt>
                <c:pt idx="4">
                  <c:v>12.260505138718086</c:v>
                </c:pt>
                <c:pt idx="5">
                  <c:v>12.657926717494142</c:v>
                </c:pt>
                <c:pt idx="6">
                  <c:v>12.756393372616884</c:v>
                </c:pt>
                <c:pt idx="7">
                  <c:v>12.61466925551532</c:v>
                </c:pt>
                <c:pt idx="8">
                  <c:v>12.580472480510288</c:v>
                </c:pt>
                <c:pt idx="9">
                  <c:v>12.353677740928498</c:v>
                </c:pt>
                <c:pt idx="10">
                  <c:v>12.907036675629879</c:v>
                </c:pt>
                <c:pt idx="11">
                  <c:v>13.424347307326993</c:v>
                </c:pt>
                <c:pt idx="12">
                  <c:v>13.340456920141433</c:v>
                </c:pt>
                <c:pt idx="13">
                  <c:v>13.204669556139867</c:v>
                </c:pt>
                <c:pt idx="14">
                  <c:v>13.231923931835361</c:v>
                </c:pt>
                <c:pt idx="15">
                  <c:v>13.436053887529447</c:v>
                </c:pt>
                <c:pt idx="16">
                  <c:v>13.101755056885127</c:v>
                </c:pt>
                <c:pt idx="17">
                  <c:v>13.546160967993327</c:v>
                </c:pt>
                <c:pt idx="18">
                  <c:v>13.620469363699952</c:v>
                </c:pt>
                <c:pt idx="19">
                  <c:v>12.11693238285897</c:v>
                </c:pt>
                <c:pt idx="20">
                  <c:v>12.49280292182118</c:v>
                </c:pt>
                <c:pt idx="21">
                  <c:v>12.503750406447189</c:v>
                </c:pt>
                <c:pt idx="22">
                  <c:v>12.096491009187154</c:v>
                </c:pt>
                <c:pt idx="23">
                  <c:v>11.874321427793049</c:v>
                </c:pt>
                <c:pt idx="24">
                  <c:v>11.721054068678752</c:v>
                </c:pt>
                <c:pt idx="25">
                  <c:v>11.93410968804557</c:v>
                </c:pt>
                <c:pt idx="26">
                  <c:v>11.684018447250951</c:v>
                </c:pt>
                <c:pt idx="27">
                  <c:v>11.697770007084898</c:v>
                </c:pt>
                <c:pt idx="28">
                  <c:v>11.963824498861683</c:v>
                </c:pt>
                <c:pt idx="29">
                  <c:v>12.082641214130293</c:v>
                </c:pt>
                <c:pt idx="30">
                  <c:v>12.123701287643808</c:v>
                </c:pt>
                <c:pt idx="31">
                  <c:v>12.328332904306659</c:v>
                </c:pt>
                <c:pt idx="32">
                  <c:v>12.375705967638931</c:v>
                </c:pt>
                <c:pt idx="33">
                  <c:v>12.559512027482327</c:v>
                </c:pt>
                <c:pt idx="34">
                  <c:v>12.73017964358209</c:v>
                </c:pt>
                <c:pt idx="35">
                  <c:v>12.673099674275292</c:v>
                </c:pt>
                <c:pt idx="36">
                  <c:v>12.821944635668347</c:v>
                </c:pt>
                <c:pt idx="37">
                  <c:v>12.966707320841723</c:v>
                </c:pt>
                <c:pt idx="38">
                  <c:v>13.553611602317591</c:v>
                </c:pt>
                <c:pt idx="39">
                  <c:v>13.426962595491229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3A0-43B5-9AD7-7791FB1B7268}"/>
            </c:ext>
          </c:extLst>
        </c:ser>
        <c:ser>
          <c:idx val="5"/>
          <c:order val="5"/>
          <c:tx>
            <c:strRef>
              <c:f>'1_UK stats LDVs'!$C$242</c:f>
              <c:strCache>
                <c:ptCount val="1"/>
                <c:pt idx="0">
                  <c:v>Light vans - 1000kms/toe (Petrol)</c:v>
                </c:pt>
              </c:strCache>
            </c:strRef>
          </c:tx>
          <c:spPr>
            <a:ln>
              <a:solidFill>
                <a:schemeClr val="accent1">
                  <a:lumMod val="60000"/>
                  <a:lumOff val="40000"/>
                </a:schemeClr>
              </a:solidFill>
            </a:ln>
          </c:spPr>
          <c:marker>
            <c:symbol val="none"/>
          </c:marker>
          <c:cat>
            <c:numRef>
              <c:f>'1_UK stats LDVs'!$N$127:$BB$127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LDVs'!$N$242:$BA$242</c:f>
              <c:numCache>
                <c:formatCode>0.00</c:formatCode>
                <c:ptCount val="40"/>
                <c:pt idx="0">
                  <c:v>9.6566750276236544</c:v>
                </c:pt>
                <c:pt idx="1">
                  <c:v>9.7956087190370074</c:v>
                </c:pt>
                <c:pt idx="2">
                  <c:v>9.8269270867196212</c:v>
                </c:pt>
                <c:pt idx="3">
                  <c:v>9.7422584886251027</c:v>
                </c:pt>
                <c:pt idx="4">
                  <c:v>9.8084041109744682</c:v>
                </c:pt>
                <c:pt idx="5">
                  <c:v>10.126341373995313</c:v>
                </c:pt>
                <c:pt idx="6">
                  <c:v>10.205114698093507</c:v>
                </c:pt>
                <c:pt idx="7">
                  <c:v>10.091735404412258</c:v>
                </c:pt>
                <c:pt idx="8">
                  <c:v>10.06437798440823</c:v>
                </c:pt>
                <c:pt idx="9">
                  <c:v>9.8829421927427994</c:v>
                </c:pt>
                <c:pt idx="10">
                  <c:v>10.325629340503903</c:v>
                </c:pt>
                <c:pt idx="11">
                  <c:v>10.739477845861595</c:v>
                </c:pt>
                <c:pt idx="12">
                  <c:v>10.672365536113146</c:v>
                </c:pt>
                <c:pt idx="13">
                  <c:v>10.563735644911894</c:v>
                </c:pt>
                <c:pt idx="14">
                  <c:v>10.585539145468289</c:v>
                </c:pt>
                <c:pt idx="15">
                  <c:v>10.748843110023556</c:v>
                </c:pt>
                <c:pt idx="16">
                  <c:v>10.481404045508103</c:v>
                </c:pt>
                <c:pt idx="17">
                  <c:v>10.836928774394663</c:v>
                </c:pt>
                <c:pt idx="18">
                  <c:v>10.896375490959961</c:v>
                </c:pt>
                <c:pt idx="19">
                  <c:v>9.6935459062871772</c:v>
                </c:pt>
                <c:pt idx="20">
                  <c:v>9.9942423374569458</c:v>
                </c:pt>
                <c:pt idx="21">
                  <c:v>10.003000325157752</c:v>
                </c:pt>
                <c:pt idx="22">
                  <c:v>9.6771928073497246</c:v>
                </c:pt>
                <c:pt idx="23">
                  <c:v>9.4994571422344407</c:v>
                </c:pt>
                <c:pt idx="24">
                  <c:v>9.376843254943001</c:v>
                </c:pt>
                <c:pt idx="25">
                  <c:v>9.5472877504364551</c:v>
                </c:pt>
                <c:pt idx="26">
                  <c:v>9.3472147578007601</c:v>
                </c:pt>
                <c:pt idx="27">
                  <c:v>9.3582160056679164</c:v>
                </c:pt>
                <c:pt idx="28">
                  <c:v>9.571059599089347</c:v>
                </c:pt>
                <c:pt idx="29">
                  <c:v>9.6661129713042353</c:v>
                </c:pt>
                <c:pt idx="30">
                  <c:v>9.6989610301150453</c:v>
                </c:pt>
                <c:pt idx="31">
                  <c:v>9.8626663234453265</c:v>
                </c:pt>
                <c:pt idx="32">
                  <c:v>9.9005647741111424</c:v>
                </c:pt>
                <c:pt idx="33">
                  <c:v>10.047609621985861</c:v>
                </c:pt>
                <c:pt idx="34">
                  <c:v>10.184143714865673</c:v>
                </c:pt>
                <c:pt idx="35">
                  <c:v>10.138479739420236</c:v>
                </c:pt>
                <c:pt idx="36">
                  <c:v>10.25755570853468</c:v>
                </c:pt>
                <c:pt idx="37">
                  <c:v>10.373365856673379</c:v>
                </c:pt>
                <c:pt idx="38">
                  <c:v>10.842889281854072</c:v>
                </c:pt>
                <c:pt idx="39">
                  <c:v>10.741570076392984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3A0-43B5-9AD7-7791FB1B72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017984"/>
        <c:axId val="517019520"/>
      </c:lineChart>
      <c:catAx>
        <c:axId val="5170179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019520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01952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vehcile exergy economy 1000km/toe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170179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transport economy by fuel type 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LDVs'!$C$287</c:f>
              <c:strCache>
                <c:ptCount val="1"/>
                <c:pt idx="0">
                  <c:v>Total petrol 1000kms/toe (av. of 1971-1975)</c:v>
                </c:pt>
              </c:strCache>
            </c:strRef>
          </c:tx>
          <c:marker>
            <c:symbol val="none"/>
          </c:marker>
          <c:cat>
            <c:numRef>
              <c:f>'1_UK stats LDVs'!$N$119:$BB$119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LDVs'!$N$287:$BB$287</c:f>
              <c:numCache>
                <c:formatCode>0.00</c:formatCode>
                <c:ptCount val="41"/>
                <c:pt idx="0">
                  <c:v>12.451745849679581</c:v>
                </c:pt>
                <c:pt idx="1">
                  <c:v>12.548859141922406</c:v>
                </c:pt>
                <c:pt idx="2">
                  <c:v>12.447567119449788</c:v>
                </c:pt>
                <c:pt idx="3">
                  <c:v>12.286200896559246</c:v>
                </c:pt>
                <c:pt idx="4">
                  <c:v>12.405306428290437</c:v>
                </c:pt>
                <c:pt idx="5">
                  <c:v>12.827002209863549</c:v>
                </c:pt>
                <c:pt idx="6">
                  <c:v>12.880358197781833</c:v>
                </c:pt>
                <c:pt idx="7">
                  <c:v>12.751218404147513</c:v>
                </c:pt>
                <c:pt idx="8">
                  <c:v>12.526868482704359</c:v>
                </c:pt>
                <c:pt idx="9">
                  <c:v>12.253696759222196</c:v>
                </c:pt>
                <c:pt idx="10">
                  <c:v>12.760617787537303</c:v>
                </c:pt>
                <c:pt idx="11">
                  <c:v>13.346934801355475</c:v>
                </c:pt>
                <c:pt idx="12">
                  <c:v>13.365921908769064</c:v>
                </c:pt>
                <c:pt idx="13">
                  <c:v>13.296645785169561</c:v>
                </c:pt>
                <c:pt idx="14">
                  <c:v>13.508829247921494</c:v>
                </c:pt>
                <c:pt idx="15">
                  <c:v>13.701324104342008</c:v>
                </c:pt>
                <c:pt idx="16">
                  <c:v>13.656403450055915</c:v>
                </c:pt>
                <c:pt idx="17">
                  <c:v>14.111193247791055</c:v>
                </c:pt>
                <c:pt idx="18">
                  <c:v>14.32985574202052</c:v>
                </c:pt>
                <c:pt idx="19">
                  <c:v>14.839916257853405</c:v>
                </c:pt>
                <c:pt idx="20">
                  <c:v>14.398774206159599</c:v>
                </c:pt>
                <c:pt idx="21">
                  <c:v>14.407931208428026</c:v>
                </c:pt>
                <c:pt idx="22">
                  <c:v>14.170133639906862</c:v>
                </c:pt>
                <c:pt idx="23">
                  <c:v>13.964073185428953</c:v>
                </c:pt>
                <c:pt idx="24">
                  <c:v>14.287060021241329</c:v>
                </c:pt>
                <c:pt idx="25">
                  <c:v>14.683028061955682</c:v>
                </c:pt>
                <c:pt idx="26">
                  <c:v>14.424505306964088</c:v>
                </c:pt>
                <c:pt idx="27">
                  <c:v>14.506927190711922</c:v>
                </c:pt>
                <c:pt idx="28">
                  <c:v>14.82801879835546</c:v>
                </c:pt>
                <c:pt idx="29">
                  <c:v>14.831514791213076</c:v>
                </c:pt>
                <c:pt idx="30">
                  <c:v>14.831642930053723</c:v>
                </c:pt>
                <c:pt idx="31">
                  <c:v>15.036656685522113</c:v>
                </c:pt>
                <c:pt idx="32">
                  <c:v>15.056299616069605</c:v>
                </c:pt>
                <c:pt idx="33">
                  <c:v>15.21831566064621</c:v>
                </c:pt>
                <c:pt idx="34">
                  <c:v>15.239181586306442</c:v>
                </c:pt>
                <c:pt idx="35">
                  <c:v>15.103846057492145</c:v>
                </c:pt>
                <c:pt idx="36">
                  <c:v>15.278788045487588</c:v>
                </c:pt>
                <c:pt idx="37">
                  <c:v>15.190165422663203</c:v>
                </c:pt>
                <c:pt idx="38">
                  <c:v>15.422695208197366</c:v>
                </c:pt>
                <c:pt idx="39">
                  <c:v>15.808511190360234</c:v>
                </c:pt>
                <c:pt idx="40">
                  <c:v>16.025130477234399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080-447C-8404-87E089F7D68B}"/>
            </c:ext>
          </c:extLst>
        </c:ser>
        <c:ser>
          <c:idx val="1"/>
          <c:order val="1"/>
          <c:tx>
            <c:strRef>
              <c:f>'1_UK stats LDVs'!$C$288</c:f>
              <c:strCache>
                <c:ptCount val="1"/>
                <c:pt idx="0">
                  <c:v>Total DERV 1000kms/toe (av. Of 1971-1975)</c:v>
                </c:pt>
              </c:strCache>
            </c:strRef>
          </c:tx>
          <c:marker>
            <c:symbol val="none"/>
          </c:marker>
          <c:cat>
            <c:numRef>
              <c:f>'1_UK stats LDVs'!$N$119:$BB$119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LDVs'!$N$288:$BB$288</c:f>
              <c:numCache>
                <c:formatCode>0.00</c:formatCode>
                <c:ptCount val="41"/>
                <c:pt idx="0">
                  <c:v>5.3834073905909117</c:v>
                </c:pt>
                <c:pt idx="1">
                  <c:v>5.4026571843031146</c:v>
                </c:pt>
                <c:pt idx="2">
                  <c:v>5.4715931698512001</c:v>
                </c:pt>
                <c:pt idx="3">
                  <c:v>5.3588822619579028</c:v>
                </c:pt>
                <c:pt idx="4">
                  <c:v>5.368890940158507</c:v>
                </c:pt>
                <c:pt idx="5">
                  <c:v>5.378389369391587</c:v>
                </c:pt>
                <c:pt idx="6">
                  <c:v>5.4017527885158394</c:v>
                </c:pt>
                <c:pt idx="7">
                  <c:v>5.2744926236103256</c:v>
                </c:pt>
                <c:pt idx="8">
                  <c:v>5.3003587705600195</c:v>
                </c:pt>
                <c:pt idx="9">
                  <c:v>5.1654703581971164</c:v>
                </c:pt>
                <c:pt idx="10">
                  <c:v>5.4361560909673505</c:v>
                </c:pt>
                <c:pt idx="11">
                  <c:v>5.6435266895152862</c:v>
                </c:pt>
                <c:pt idx="12">
                  <c:v>5.4583927607214742</c:v>
                </c:pt>
                <c:pt idx="13">
                  <c:v>5.2168527429611693</c:v>
                </c:pt>
                <c:pt idx="14">
                  <c:v>5.0536729100420876</c:v>
                </c:pt>
                <c:pt idx="15">
                  <c:v>4.9060187873271026</c:v>
                </c:pt>
                <c:pt idx="16">
                  <c:v>4.6389827304455142</c:v>
                </c:pt>
                <c:pt idx="17">
                  <c:v>4.973543852389211</c:v>
                </c:pt>
                <c:pt idx="18">
                  <c:v>5.0999067974988987</c:v>
                </c:pt>
                <c:pt idx="19">
                  <c:v>5.6933886144676125</c:v>
                </c:pt>
                <c:pt idx="20">
                  <c:v>6.2587961344275902</c:v>
                </c:pt>
                <c:pt idx="21">
                  <c:v>6.6619762557892486</c:v>
                </c:pt>
                <c:pt idx="22">
                  <c:v>6.9335862739772187</c:v>
                </c:pt>
                <c:pt idx="23">
                  <c:v>7.3144015472989858</c:v>
                </c:pt>
                <c:pt idx="24">
                  <c:v>7.8631421823110399</c:v>
                </c:pt>
                <c:pt idx="25">
                  <c:v>8.4876936459002934</c:v>
                </c:pt>
                <c:pt idx="26">
                  <c:v>8.675966024556935</c:v>
                </c:pt>
                <c:pt idx="27">
                  <c:v>8.9983962805616127</c:v>
                </c:pt>
                <c:pt idx="28">
                  <c:v>9.3828138954197158</c:v>
                </c:pt>
                <c:pt idx="29">
                  <c:v>9.7675728856649808</c:v>
                </c:pt>
                <c:pt idx="30">
                  <c:v>10.002380534247052</c:v>
                </c:pt>
                <c:pt idx="31">
                  <c:v>10.322577527074797</c:v>
                </c:pt>
                <c:pt idx="32">
                  <c:v>10.554127658877452</c:v>
                </c:pt>
                <c:pt idx="33">
                  <c:v>10.838513175136125</c:v>
                </c:pt>
                <c:pt idx="34">
                  <c:v>11.141435567552984</c:v>
                </c:pt>
                <c:pt idx="35">
                  <c:v>11.264812127449924</c:v>
                </c:pt>
                <c:pt idx="36">
                  <c:v>11.613653471376685</c:v>
                </c:pt>
                <c:pt idx="37">
                  <c:v>11.787798475395308</c:v>
                </c:pt>
                <c:pt idx="38">
                  <c:v>12.459584812683705</c:v>
                </c:pt>
                <c:pt idx="39">
                  <c:v>12.866367062084912</c:v>
                </c:pt>
                <c:pt idx="40">
                  <c:v>12.951958517477568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080-447C-8404-87E089F7D68B}"/>
            </c:ext>
          </c:extLst>
        </c:ser>
        <c:ser>
          <c:idx val="2"/>
          <c:order val="2"/>
          <c:tx>
            <c:strRef>
              <c:f>'1_UK stats LDVs'!$C$289</c:f>
              <c:strCache>
                <c:ptCount val="1"/>
                <c:pt idx="0">
                  <c:v>Total fuel 1000kms/toe</c:v>
                </c:pt>
              </c:strCache>
            </c:strRef>
          </c:tx>
          <c:marker>
            <c:symbol val="none"/>
          </c:marker>
          <c:cat>
            <c:numRef>
              <c:f>'1_UK stats LDVs'!$N$119:$BB$119</c:f>
              <c:numCache>
                <c:formatCode>General</c:formatCode>
                <c:ptCount val="41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</c:numCache>
            </c:numRef>
          </c:cat>
          <c:val>
            <c:numRef>
              <c:f>'1_UK stats LDVs'!$N$289:$BB$289</c:f>
              <c:numCache>
                <c:formatCode>0.00</c:formatCode>
                <c:ptCount val="41"/>
                <c:pt idx="0">
                  <c:v>10.646555957211657</c:v>
                </c:pt>
                <c:pt idx="1">
                  <c:v>10.749996490742229</c:v>
                </c:pt>
                <c:pt idx="2">
                  <c:v>10.754684335053883</c:v>
                </c:pt>
                <c:pt idx="3">
                  <c:v>10.591255873051345</c:v>
                </c:pt>
                <c:pt idx="4">
                  <c:v>10.682331071780657</c:v>
                </c:pt>
                <c:pt idx="5">
                  <c:v>10.996454408768036</c:v>
                </c:pt>
                <c:pt idx="6">
                  <c:v>11.060159098288768</c:v>
                </c:pt>
                <c:pt idx="7">
                  <c:v>10.939965249083162</c:v>
                </c:pt>
                <c:pt idx="8">
                  <c:v>10.813338730612573</c:v>
                </c:pt>
                <c:pt idx="9">
                  <c:v>10.555718624942001</c:v>
                </c:pt>
                <c:pt idx="10">
                  <c:v>11.081563609230679</c:v>
                </c:pt>
                <c:pt idx="11">
                  <c:v>11.622871929943503</c:v>
                </c:pt>
                <c:pt idx="12">
                  <c:v>11.58895968649793</c:v>
                </c:pt>
                <c:pt idx="13">
                  <c:v>11.392965325029968</c:v>
                </c:pt>
                <c:pt idx="14">
                  <c:v>11.428451631305332</c:v>
                </c:pt>
                <c:pt idx="15">
                  <c:v>11.466576363713227</c:v>
                </c:pt>
                <c:pt idx="16">
                  <c:v>11.273425068544974</c:v>
                </c:pt>
                <c:pt idx="17">
                  <c:v>11.621025006936414</c:v>
                </c:pt>
                <c:pt idx="18">
                  <c:v>11.712168170390619</c:v>
                </c:pt>
                <c:pt idx="19">
                  <c:v>12.153311009201103</c:v>
                </c:pt>
                <c:pt idx="20">
                  <c:v>11.945594932031982</c:v>
                </c:pt>
                <c:pt idx="21">
                  <c:v>12.04561405479712</c:v>
                </c:pt>
                <c:pt idx="22">
                  <c:v>11.901191528274053</c:v>
                </c:pt>
                <c:pt idx="23">
                  <c:v>11.775182431088998</c:v>
                </c:pt>
                <c:pt idx="24">
                  <c:v>11.982289611158986</c:v>
                </c:pt>
                <c:pt idx="25">
                  <c:v>12.341858719191578</c:v>
                </c:pt>
                <c:pt idx="26">
                  <c:v>12.189877438078195</c:v>
                </c:pt>
                <c:pt idx="27">
                  <c:v>12.300266118768601</c:v>
                </c:pt>
                <c:pt idx="28">
                  <c:v>12.607656813133389</c:v>
                </c:pt>
                <c:pt idx="29">
                  <c:v>12.733388382913374</c:v>
                </c:pt>
                <c:pt idx="30">
                  <c:v>12.80008146856874</c:v>
                </c:pt>
                <c:pt idx="31">
                  <c:v>12.996240935826643</c:v>
                </c:pt>
                <c:pt idx="32">
                  <c:v>13.041029858003254</c:v>
                </c:pt>
                <c:pt idx="33">
                  <c:v>13.159233150074414</c:v>
                </c:pt>
                <c:pt idx="34">
                  <c:v>13.244040437950193</c:v>
                </c:pt>
                <c:pt idx="35">
                  <c:v>13.157792472455217</c:v>
                </c:pt>
                <c:pt idx="36">
                  <c:v>13.345538184682393</c:v>
                </c:pt>
                <c:pt idx="37">
                  <c:v>13.335781994067251</c:v>
                </c:pt>
                <c:pt idx="38">
                  <c:v>13.779805212531663</c:v>
                </c:pt>
                <c:pt idx="39">
                  <c:v>14.148314374448239</c:v>
                </c:pt>
                <c:pt idx="40">
                  <c:v>14.215981277848892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080-447C-8404-87E089F7D6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064960"/>
        <c:axId val="517074944"/>
      </c:lineChart>
      <c:catAx>
        <c:axId val="51706496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074944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07494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fuel economy</a:t>
                </a:r>
                <a:r>
                  <a:rPr lang="en-GB" baseline="0"/>
                  <a:t> </a:t>
                </a:r>
                <a:r>
                  <a:rPr lang="en-GB"/>
                  <a:t>1000kms/toe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170649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UK road vehicle exergy efficiency %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'1_UK stats LDVs'!$C$296</c:f>
              <c:strCache>
                <c:ptCount val="1"/>
                <c:pt idx="0">
                  <c:v>petrol exergy efficiency, y = 35(1-e^-0.025x)</c:v>
                </c:pt>
              </c:strCache>
            </c:strRef>
          </c:tx>
          <c:marker>
            <c:symbol val="none"/>
          </c:marker>
          <c:cat>
            <c:numRef>
              <c:f>'1_UK stats LDVs'!$D$291:$BB$291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LDVs'!$D$296:$BB$296</c:f>
              <c:numCache>
                <c:formatCode>0.00%</c:formatCode>
                <c:ptCount val="51"/>
                <c:pt idx="0">
                  <c:v>0.15957566228914821</c:v>
                </c:pt>
                <c:pt idx="1">
                  <c:v>0.15957566228914821</c:v>
                </c:pt>
                <c:pt idx="2">
                  <c:v>0.15957566228914821</c:v>
                </c:pt>
                <c:pt idx="3">
                  <c:v>0.15957566228914824</c:v>
                </c:pt>
                <c:pt idx="4">
                  <c:v>0.15957566228914821</c:v>
                </c:pt>
                <c:pt idx="5">
                  <c:v>0.15957566228914824</c:v>
                </c:pt>
                <c:pt idx="6">
                  <c:v>0.15957566228914821</c:v>
                </c:pt>
                <c:pt idx="7">
                  <c:v>0.15957566228914824</c:v>
                </c:pt>
                <c:pt idx="8">
                  <c:v>0.15957566228914824</c:v>
                </c:pt>
                <c:pt idx="9">
                  <c:v>0.15957566228914821</c:v>
                </c:pt>
                <c:pt idx="10">
                  <c:v>0.15977832985657828</c:v>
                </c:pt>
                <c:pt idx="11">
                  <c:v>0.16068077968357733</c:v>
                </c:pt>
                <c:pt idx="12">
                  <c:v>0.15973940156086686</c:v>
                </c:pt>
                <c:pt idx="13">
                  <c:v>0.15823003362711793</c:v>
                </c:pt>
                <c:pt idx="14">
                  <c:v>0.15934526063216348</c:v>
                </c:pt>
                <c:pt idx="15">
                  <c:v>0.16324187261236239</c:v>
                </c:pt>
                <c:pt idx="16">
                  <c:v>0.16372919018945534</c:v>
                </c:pt>
                <c:pt idx="17">
                  <c:v>0.16254752229460565</c:v>
                </c:pt>
                <c:pt idx="18">
                  <c:v>0.16047680163058048</c:v>
                </c:pt>
                <c:pt idx="19">
                  <c:v>0.1579245544997479</c:v>
                </c:pt>
                <c:pt idx="20">
                  <c:v>0.16263378185425792</c:v>
                </c:pt>
                <c:pt idx="21">
                  <c:v>0.16793677186192457</c:v>
                </c:pt>
                <c:pt idx="22">
                  <c:v>0.16810597008408468</c:v>
                </c:pt>
                <c:pt idx="23">
                  <c:v>0.16748787469921694</c:v>
                </c:pt>
                <c:pt idx="24">
                  <c:v>0.16937441294359271</c:v>
                </c:pt>
                <c:pt idx="25">
                  <c:v>0.17106902296461737</c:v>
                </c:pt>
                <c:pt idx="26">
                  <c:v>0.17067499596405628</c:v>
                </c:pt>
                <c:pt idx="27">
                  <c:v>0.17462448779488315</c:v>
                </c:pt>
                <c:pt idx="28">
                  <c:v>0.1764923155995331</c:v>
                </c:pt>
                <c:pt idx="29">
                  <c:v>0.18077232454272851</c:v>
                </c:pt>
                <c:pt idx="30">
                  <c:v>0.17707688799781174</c:v>
                </c:pt>
                <c:pt idx="31">
                  <c:v>0.17715441011566577</c:v>
                </c:pt>
                <c:pt idx="32">
                  <c:v>0.17512993060076679</c:v>
                </c:pt>
                <c:pt idx="33">
                  <c:v>0.17335647742683125</c:v>
                </c:pt>
                <c:pt idx="34">
                  <c:v>0.17612832444328919</c:v>
                </c:pt>
                <c:pt idx="35">
                  <c:v>0.17946721307183686</c:v>
                </c:pt>
                <c:pt idx="36">
                  <c:v>0.17729463614075647</c:v>
                </c:pt>
                <c:pt idx="37">
                  <c:v>0.17799028305817796</c:v>
                </c:pt>
                <c:pt idx="38">
                  <c:v>0.18067370368605196</c:v>
                </c:pt>
                <c:pt idx="39">
                  <c:v>0.18070268875933287</c:v>
                </c:pt>
                <c:pt idx="40">
                  <c:v>0.1807037510567342</c:v>
                </c:pt>
                <c:pt idx="41">
                  <c:v>0.18239484916581919</c:v>
                </c:pt>
                <c:pt idx="42">
                  <c:v>0.1825559884459059</c:v>
                </c:pt>
                <c:pt idx="43">
                  <c:v>0.18387917975043055</c:v>
                </c:pt>
                <c:pt idx="44">
                  <c:v>0.18404883077895423</c:v>
                </c:pt>
                <c:pt idx="45">
                  <c:v>0.18294539099294047</c:v>
                </c:pt>
                <c:pt idx="46">
                  <c:v>0.18437037586967936</c:v>
                </c:pt>
                <c:pt idx="47">
                  <c:v>0.18365002855118884</c:v>
                </c:pt>
                <c:pt idx="48">
                  <c:v>0.18553345091565329</c:v>
                </c:pt>
                <c:pt idx="49">
                  <c:v>0.18861151997382652</c:v>
                </c:pt>
                <c:pt idx="50">
                  <c:v>0.19031440343162881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0D-4667-BBEB-E3A500B67334}"/>
            </c:ext>
          </c:extLst>
        </c:ser>
        <c:ser>
          <c:idx val="1"/>
          <c:order val="1"/>
          <c:tx>
            <c:strRef>
              <c:f>'1_UK stats LDVs'!$C$297</c:f>
              <c:strCache>
                <c:ptCount val="1"/>
                <c:pt idx="0">
                  <c:v>diesel exergy efficiency, y = 43.75(1-e^-0.025x)</c:v>
                </c:pt>
              </c:strCache>
            </c:strRef>
          </c:tx>
          <c:spPr>
            <a:ln>
              <a:solidFill>
                <a:srgbClr val="92D050"/>
              </a:solidFill>
            </a:ln>
          </c:spPr>
          <c:marker>
            <c:symbol val="none"/>
          </c:marker>
          <c:cat>
            <c:numRef>
              <c:f>'1_UK stats LDVs'!$D$291:$BB$291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LDVs'!$D$297:$BB$297</c:f>
              <c:numCache>
                <c:formatCode>0.00%</c:formatCode>
                <c:ptCount val="51"/>
                <c:pt idx="0">
                  <c:v>0.11121274215320702</c:v>
                </c:pt>
                <c:pt idx="1">
                  <c:v>0.11121274215320696</c:v>
                </c:pt>
                <c:pt idx="2">
                  <c:v>0.11121274215320702</c:v>
                </c:pt>
                <c:pt idx="3">
                  <c:v>0.11121274215320696</c:v>
                </c:pt>
                <c:pt idx="4">
                  <c:v>0.11121274215320696</c:v>
                </c:pt>
                <c:pt idx="5">
                  <c:v>0.11121274215320696</c:v>
                </c:pt>
                <c:pt idx="6">
                  <c:v>0.11121274215320696</c:v>
                </c:pt>
                <c:pt idx="7">
                  <c:v>0.11121274215320696</c:v>
                </c:pt>
                <c:pt idx="8">
                  <c:v>0.11121274215320696</c:v>
                </c:pt>
                <c:pt idx="9">
                  <c:v>0.11121274215320696</c:v>
                </c:pt>
                <c:pt idx="10">
                  <c:v>0.11091855298567591</c:v>
                </c:pt>
                <c:pt idx="11">
                  <c:v>0.1112598297595818</c:v>
                </c:pt>
                <c:pt idx="12">
                  <c:v>0.11247906298805355</c:v>
                </c:pt>
                <c:pt idx="13">
                  <c:v>0.11048323335533489</c:v>
                </c:pt>
                <c:pt idx="14">
                  <c:v>0.11066095685956194</c:v>
                </c:pt>
                <c:pt idx="15">
                  <c:v>0.11082953057573279</c:v>
                </c:pt>
                <c:pt idx="16">
                  <c:v>0.11124380384610733</c:v>
                </c:pt>
                <c:pt idx="17">
                  <c:v>0.1089808837749896</c:v>
                </c:pt>
                <c:pt idx="18">
                  <c:v>0.10944209886842129</c:v>
                </c:pt>
                <c:pt idx="19">
                  <c:v>0.10702978848780774</c:v>
                </c:pt>
                <c:pt idx="20">
                  <c:v>0.11185287687011244</c:v>
                </c:pt>
                <c:pt idx="21">
                  <c:v>0.11550014004931991</c:v>
                </c:pt>
                <c:pt idx="22">
                  <c:v>0.11224594778959419</c:v>
                </c:pt>
                <c:pt idx="23">
                  <c:v>0.10795078261415936</c:v>
                </c:pt>
                <c:pt idx="24">
                  <c:v>0.10501699320997183</c:v>
                </c:pt>
                <c:pt idx="25">
                  <c:v>0.10233983630011806</c:v>
                </c:pt>
                <c:pt idx="26">
                  <c:v>9.7443268647691705E-2</c:v>
                </c:pt>
                <c:pt idx="27">
                  <c:v>0.10356681606912473</c:v>
                </c:pt>
                <c:pt idx="28">
                  <c:v>0.10585086800312826</c:v>
                </c:pt>
                <c:pt idx="29">
                  <c:v>0.11637100925335452</c:v>
                </c:pt>
                <c:pt idx="30">
                  <c:v>0.12608294413231028</c:v>
                </c:pt>
                <c:pt idx="31">
                  <c:v>0.13282839736846638</c:v>
                </c:pt>
                <c:pt idx="32">
                  <c:v>0.13729003632412218</c:v>
                </c:pt>
                <c:pt idx="33">
                  <c:v>0.143435744452453</c:v>
                </c:pt>
                <c:pt idx="34">
                  <c:v>0.15207088893372989</c:v>
                </c:pt>
                <c:pt idx="35">
                  <c:v>0.16159089797073409</c:v>
                </c:pt>
                <c:pt idx="36">
                  <c:v>0.16439794803510263</c:v>
                </c:pt>
                <c:pt idx="37">
                  <c:v>0.16913905373674695</c:v>
                </c:pt>
                <c:pt idx="38">
                  <c:v>0.17468419641627367</c:v>
                </c:pt>
                <c:pt idx="39">
                  <c:v>0.18011953210604217</c:v>
                </c:pt>
                <c:pt idx="40">
                  <c:v>0.18338118355356364</c:v>
                </c:pt>
                <c:pt idx="41">
                  <c:v>0.18776244552961463</c:v>
                </c:pt>
                <c:pt idx="42">
                  <c:v>0.19088361211917754</c:v>
                </c:pt>
                <c:pt idx="43">
                  <c:v>0.19466364667455832</c:v>
                </c:pt>
                <c:pt idx="44">
                  <c:v>0.1986263667640005</c:v>
                </c:pt>
                <c:pt idx="45">
                  <c:v>0.20022174150248401</c:v>
                </c:pt>
                <c:pt idx="46">
                  <c:v>0.20467516740789446</c:v>
                </c:pt>
                <c:pt idx="47">
                  <c:v>0.20686698389112135</c:v>
                </c:pt>
                <c:pt idx="48">
                  <c:v>0.21513059135750168</c:v>
                </c:pt>
                <c:pt idx="49">
                  <c:v>0.2199897864503994</c:v>
                </c:pt>
                <c:pt idx="50">
                  <c:v>0.2209986144578612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0D-4667-BBEB-E3A500B67334}"/>
            </c:ext>
          </c:extLst>
        </c:ser>
        <c:ser>
          <c:idx val="2"/>
          <c:order val="2"/>
          <c:tx>
            <c:strRef>
              <c:f>'1_UK stats LDVs'!$C$37</c:f>
              <c:strCache>
                <c:ptCount val="1"/>
                <c:pt idx="0">
                  <c:v>UK aggregate road vehicle exergy efficiency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val>
            <c:numRef>
              <c:f>'1_UK stats LDVs'!$D$37:$BB$37</c:f>
              <c:numCache>
                <c:formatCode>0.0%</c:formatCode>
                <c:ptCount val="51"/>
                <c:pt idx="0">
                  <c:v>0.1476323969983431</c:v>
                </c:pt>
                <c:pt idx="1">
                  <c:v>0.14737477549663264</c:v>
                </c:pt>
                <c:pt idx="2">
                  <c:v>0.14720665278984113</c:v>
                </c:pt>
                <c:pt idx="3">
                  <c:v>0.14693632282650526</c:v>
                </c:pt>
                <c:pt idx="4">
                  <c:v>0.14699474954390571</c:v>
                </c:pt>
                <c:pt idx="5">
                  <c:v>0.14712766261102131</c:v>
                </c:pt>
                <c:pt idx="6">
                  <c:v>0.14715526432209963</c:v>
                </c:pt>
                <c:pt idx="7">
                  <c:v>0.14721276536470468</c:v>
                </c:pt>
                <c:pt idx="8">
                  <c:v>0.14714253099884542</c:v>
                </c:pt>
                <c:pt idx="9">
                  <c:v>0.1470219170470678</c:v>
                </c:pt>
                <c:pt idx="10">
                  <c:v>0.14731448983110493</c:v>
                </c:pt>
                <c:pt idx="11">
                  <c:v>0.14826435389099227</c:v>
                </c:pt>
                <c:pt idx="12">
                  <c:v>0.1482838052638546</c:v>
                </c:pt>
                <c:pt idx="13">
                  <c:v>0.14655603255932026</c:v>
                </c:pt>
                <c:pt idx="14">
                  <c:v>0.14742886447929587</c:v>
                </c:pt>
                <c:pt idx="15">
                  <c:v>0.15038395704616864</c:v>
                </c:pt>
                <c:pt idx="16">
                  <c:v>0.15097919176027386</c:v>
                </c:pt>
                <c:pt idx="17">
                  <c:v>0.14959403190149748</c:v>
                </c:pt>
                <c:pt idx="18">
                  <c:v>0.14839958180534024</c:v>
                </c:pt>
                <c:pt idx="19">
                  <c:v>0.14576692464765056</c:v>
                </c:pt>
                <c:pt idx="20">
                  <c:v>0.15103438421765719</c:v>
                </c:pt>
                <c:pt idx="21">
                  <c:v>0.15624280973589752</c:v>
                </c:pt>
                <c:pt idx="22">
                  <c:v>0.15560588612679752</c:v>
                </c:pt>
                <c:pt idx="23">
                  <c:v>0.15353979730006817</c:v>
                </c:pt>
                <c:pt idx="24">
                  <c:v>0.1536492079551918</c:v>
                </c:pt>
                <c:pt idx="25">
                  <c:v>0.15373765628213434</c:v>
                </c:pt>
                <c:pt idx="26">
                  <c:v>0.15150021822975207</c:v>
                </c:pt>
                <c:pt idx="27">
                  <c:v>0.15544832173340575</c:v>
                </c:pt>
                <c:pt idx="28">
                  <c:v>0.15666457792038513</c:v>
                </c:pt>
                <c:pt idx="29">
                  <c:v>0.1620630073876142</c:v>
                </c:pt>
                <c:pt idx="30">
                  <c:v>0.16188834975884048</c:v>
                </c:pt>
                <c:pt idx="31">
                  <c:v>0.16380333004182024</c:v>
                </c:pt>
                <c:pt idx="32">
                  <c:v>0.16341799076027963</c:v>
                </c:pt>
                <c:pt idx="33">
                  <c:v>0.16363943196063907</c:v>
                </c:pt>
                <c:pt idx="34">
                  <c:v>0.16761797735091172</c:v>
                </c:pt>
                <c:pt idx="35">
                  <c:v>0.17280925964951135</c:v>
                </c:pt>
                <c:pt idx="36">
                  <c:v>0.17235572056943183</c:v>
                </c:pt>
                <c:pt idx="37">
                  <c:v>0.17449822558383216</c:v>
                </c:pt>
                <c:pt idx="38">
                  <c:v>0.17826846659643902</c:v>
                </c:pt>
                <c:pt idx="39">
                  <c:v>0.18046989220059995</c:v>
                </c:pt>
                <c:pt idx="40">
                  <c:v>0.18181702415271833</c:v>
                </c:pt>
                <c:pt idx="41">
                  <c:v>0.18471155931589189</c:v>
                </c:pt>
                <c:pt idx="42">
                  <c:v>0.18622494512141635</c:v>
                </c:pt>
                <c:pt idx="43">
                  <c:v>0.18886851144236205</c:v>
                </c:pt>
                <c:pt idx="44">
                  <c:v>0.19103382672555214</c:v>
                </c:pt>
                <c:pt idx="45">
                  <c:v>0.19160348473924482</c:v>
                </c:pt>
                <c:pt idx="46">
                  <c:v>0.19488977526536094</c:v>
                </c:pt>
                <c:pt idx="47">
                  <c:v>0.19610847920359231</c:v>
                </c:pt>
                <c:pt idx="48">
                  <c:v>0.20164895615601192</c:v>
                </c:pt>
                <c:pt idx="49">
                  <c:v>0.2059314386862432</c:v>
                </c:pt>
                <c:pt idx="50">
                  <c:v>0.20793225118918743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0D-4667-BBEB-E3A500B673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109632"/>
        <c:axId val="517111168"/>
      </c:lineChart>
      <c:catAx>
        <c:axId val="5171096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111168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11116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exergy efficiency %</a:t>
                </a:r>
              </a:p>
            </c:rich>
          </c:tx>
          <c:overlay val="0"/>
        </c:title>
        <c:numFmt formatCode="0.0%" sourceLinked="0"/>
        <c:majorTickMark val="out"/>
        <c:minorTickMark val="none"/>
        <c:tickLblPos val="nextTo"/>
        <c:crossAx val="5171096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/>
            </a:pPr>
            <a:r>
              <a:rPr lang="en-GB" sz="1200"/>
              <a:t>UK road</a:t>
            </a:r>
            <a:r>
              <a:rPr lang="en-GB" sz="1200" baseline="0"/>
              <a:t> vehicle fuel economy</a:t>
            </a:r>
            <a:endParaRPr lang="en-GB" sz="1200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9874836409190921"/>
          <c:y val="0.29553441236512101"/>
          <c:w val="0.73968348930235783"/>
          <c:h val="0.61163385826771655"/>
        </c:manualLayout>
      </c:layout>
      <c:lineChart>
        <c:grouping val="standard"/>
        <c:varyColors val="0"/>
        <c:ser>
          <c:idx val="0"/>
          <c:order val="0"/>
          <c:tx>
            <c:strRef>
              <c:f>'1_UK stats LDVs'!$C$299</c:f>
              <c:strCache>
                <c:ptCount val="1"/>
                <c:pt idx="0">
                  <c:v>total petrol mpg (UK Gallon)</c:v>
                </c:pt>
              </c:strCache>
            </c:strRef>
          </c:tx>
          <c:marker>
            <c:symbol val="none"/>
          </c:marker>
          <c:cat>
            <c:numRef>
              <c:f>'1_UK stats LDVs'!$D$291:$BB$291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LDVs'!$D$299:$BB$299</c:f>
              <c:numCache>
                <c:formatCode>0.00</c:formatCode>
                <c:ptCount val="51"/>
                <c:pt idx="0">
                  <c:v>29.22824567507244</c:v>
                </c:pt>
                <c:pt idx="1">
                  <c:v>29.22824567507244</c:v>
                </c:pt>
                <c:pt idx="2">
                  <c:v>29.22824567507244</c:v>
                </c:pt>
                <c:pt idx="3">
                  <c:v>29.228245675072444</c:v>
                </c:pt>
                <c:pt idx="4">
                  <c:v>29.22824567507244</c:v>
                </c:pt>
                <c:pt idx="5">
                  <c:v>29.228245675072444</c:v>
                </c:pt>
                <c:pt idx="6">
                  <c:v>29.228245675072436</c:v>
                </c:pt>
                <c:pt idx="7">
                  <c:v>29.228245675072444</c:v>
                </c:pt>
                <c:pt idx="8">
                  <c:v>29.228245675072444</c:v>
                </c:pt>
                <c:pt idx="9">
                  <c:v>29.22824567507244</c:v>
                </c:pt>
                <c:pt idx="10">
                  <c:v>29.279379467256515</c:v>
                </c:pt>
                <c:pt idx="11">
                  <c:v>29.507734347706105</c:v>
                </c:pt>
                <c:pt idx="12">
                  <c:v>29.269553485457141</c:v>
                </c:pt>
                <c:pt idx="13">
                  <c:v>28.890112487363552</c:v>
                </c:pt>
                <c:pt idx="14">
                  <c:v>29.170180527805982</c:v>
                </c:pt>
                <c:pt idx="15">
                  <c:v>30.161767647995891</c:v>
                </c:pt>
                <c:pt idx="16">
                  <c:v>30.287230393218085</c:v>
                </c:pt>
                <c:pt idx="17">
                  <c:v>29.983567511900944</c:v>
                </c:pt>
                <c:pt idx="18">
                  <c:v>29.456024903604582</c:v>
                </c:pt>
                <c:pt idx="19">
                  <c:v>28.813681360127546</c:v>
                </c:pt>
                <c:pt idx="20">
                  <c:v>30.005669481885736</c:v>
                </c:pt>
                <c:pt idx="21">
                  <c:v>31.384351519162674</c:v>
                </c:pt>
                <c:pt idx="22">
                  <c:v>31.42899832850647</c:v>
                </c:pt>
                <c:pt idx="23">
                  <c:v>31.266100536070194</c:v>
                </c:pt>
                <c:pt idx="24">
                  <c:v>31.765034597011542</c:v>
                </c:pt>
                <c:pt idx="25">
                  <c:v>32.217672324658096</c:v>
                </c:pt>
                <c:pt idx="26">
                  <c:v>32.112044656165828</c:v>
                </c:pt>
                <c:pt idx="27">
                  <c:v>33.181449960970262</c:v>
                </c:pt>
                <c:pt idx="28">
                  <c:v>33.695618995665583</c:v>
                </c:pt>
                <c:pt idx="29">
                  <c:v>34.894989395176268</c:v>
                </c:pt>
                <c:pt idx="30">
                  <c:v>33.857675777757755</c:v>
                </c:pt>
                <c:pt idx="31">
                  <c:v>33.879207806072223</c:v>
                </c:pt>
                <c:pt idx="32">
                  <c:v>33.3200440286248</c:v>
                </c:pt>
                <c:pt idx="33">
                  <c:v>32.835507778633051</c:v>
                </c:pt>
                <c:pt idx="34">
                  <c:v>33.594987954573391</c:v>
                </c:pt>
                <c:pt idx="35">
                  <c:v>34.526078153565848</c:v>
                </c:pt>
                <c:pt idx="36">
                  <c:v>33.918180599624513</c:v>
                </c:pt>
                <c:pt idx="37">
                  <c:v>34.111989695938583</c:v>
                </c:pt>
                <c:pt idx="38">
                  <c:v>34.867013379961861</c:v>
                </c:pt>
                <c:pt idx="39">
                  <c:v>34.875233954227397</c:v>
                </c:pt>
                <c:pt idx="40">
                  <c:v>34.875535263440192</c:v>
                </c:pt>
                <c:pt idx="41">
                  <c:v>35.35761027644093</c:v>
                </c:pt>
                <c:pt idx="42">
                  <c:v>35.403799206434527</c:v>
                </c:pt>
                <c:pt idx="43">
                  <c:v>35.784768213207542</c:v>
                </c:pt>
                <c:pt idx="44">
                  <c:v>35.833832927723648</c:v>
                </c:pt>
                <c:pt idx="45">
                  <c:v>35.515601223399422</c:v>
                </c:pt>
                <c:pt idx="46">
                  <c:v>35.926964650914805</c:v>
                </c:pt>
                <c:pt idx="47">
                  <c:v>35.718574965292902</c:v>
                </c:pt>
                <c:pt idx="48">
                  <c:v>36.2653519321766</c:v>
                </c:pt>
                <c:pt idx="49">
                  <c:v>37.172570299998455</c:v>
                </c:pt>
                <c:pt idx="50">
                  <c:v>37.681934880426219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0E9-4905-BEC1-399E327343B8}"/>
            </c:ext>
          </c:extLst>
        </c:ser>
        <c:ser>
          <c:idx val="1"/>
          <c:order val="1"/>
          <c:tx>
            <c:strRef>
              <c:f>'1_UK stats LDVs'!$C$300</c:f>
              <c:strCache>
                <c:ptCount val="1"/>
                <c:pt idx="0">
                  <c:v>total diesel mpg (UK Gallon)</c:v>
                </c:pt>
              </c:strCache>
            </c:strRef>
          </c:tx>
          <c:marker>
            <c:symbol val="none"/>
          </c:marker>
          <c:cat>
            <c:numRef>
              <c:f>'1_UK stats LDVs'!$D$291:$BB$291</c:f>
              <c:numCache>
                <c:formatCode>General</c:formatCode>
                <c:ptCount val="51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</c:numCache>
            </c:numRef>
          </c:cat>
          <c:val>
            <c:numRef>
              <c:f>'1_UK stats LDVs'!$D$300:$BB$300</c:f>
              <c:numCache>
                <c:formatCode>0.00</c:formatCode>
                <c:ptCount val="51"/>
                <c:pt idx="0">
                  <c:v>14.08396414811236</c:v>
                </c:pt>
                <c:pt idx="1">
                  <c:v>14.083964148112358</c:v>
                </c:pt>
                <c:pt idx="2">
                  <c:v>14.08396414811236</c:v>
                </c:pt>
                <c:pt idx="3">
                  <c:v>14.083964148112358</c:v>
                </c:pt>
                <c:pt idx="4">
                  <c:v>14.083964148112358</c:v>
                </c:pt>
                <c:pt idx="5">
                  <c:v>14.083964148112358</c:v>
                </c:pt>
                <c:pt idx="6">
                  <c:v>14.083964148112358</c:v>
                </c:pt>
                <c:pt idx="7">
                  <c:v>14.083964148112358</c:v>
                </c:pt>
                <c:pt idx="8">
                  <c:v>14.083964148112358</c:v>
                </c:pt>
                <c:pt idx="9">
                  <c:v>14.083964148112356</c:v>
                </c:pt>
                <c:pt idx="10">
                  <c:v>14.040688274771389</c:v>
                </c:pt>
                <c:pt idx="11">
                  <c:v>14.090894460790137</c:v>
                </c:pt>
                <c:pt idx="12">
                  <c:v>14.270689266155694</c:v>
                </c:pt>
                <c:pt idx="13">
                  <c:v>13.97672326877229</c:v>
                </c:pt>
                <c:pt idx="14">
                  <c:v>14.002827317836603</c:v>
                </c:pt>
                <c:pt idx="15">
                  <c:v>14.027600565388843</c:v>
                </c:pt>
                <c:pt idx="16">
                  <c:v>14.088535668596862</c:v>
                </c:pt>
                <c:pt idx="17">
                  <c:v>13.756623150076093</c:v>
                </c:pt>
                <c:pt idx="18">
                  <c:v>13.824085721611151</c:v>
                </c:pt>
                <c:pt idx="19">
                  <c:v>13.472277654256533</c:v>
                </c:pt>
                <c:pt idx="20">
                  <c:v>14.178264349764222</c:v>
                </c:pt>
                <c:pt idx="21">
                  <c:v>14.719116215564542</c:v>
                </c:pt>
                <c:pt idx="22">
                  <c:v>14.236260731169866</c:v>
                </c:pt>
                <c:pt idx="23">
                  <c:v>13.606290184786431</c:v>
                </c:pt>
                <c:pt idx="24">
                  <c:v>13.180694089133224</c:v>
                </c:pt>
                <c:pt idx="25">
                  <c:v>12.795591242718627</c:v>
                </c:pt>
                <c:pt idx="26">
                  <c:v>12.099123418390183</c:v>
                </c:pt>
                <c:pt idx="27">
                  <c:v>12.971706167798938</c:v>
                </c:pt>
                <c:pt idx="28">
                  <c:v>13.301278610127593</c:v>
                </c:pt>
                <c:pt idx="29">
                  <c:v>14.849163171746842</c:v>
                </c:pt>
                <c:pt idx="30">
                  <c:v>16.323825994004149</c:v>
                </c:pt>
                <c:pt idx="31">
                  <c:v>17.375376804094735</c:v>
                </c:pt>
                <c:pt idx="32">
                  <c:v>18.083774166766503</c:v>
                </c:pt>
                <c:pt idx="33">
                  <c:v>19.076994288343791</c:v>
                </c:pt>
                <c:pt idx="34">
                  <c:v>20.508187516144194</c:v>
                </c:pt>
                <c:pt idx="35">
                  <c:v>22.13710611278163</c:v>
                </c:pt>
                <c:pt idx="36">
                  <c:v>22.628147118537179</c:v>
                </c:pt>
                <c:pt idx="37">
                  <c:v>23.469090852951364</c:v>
                </c:pt>
                <c:pt idx="38">
                  <c:v>24.471706391018841</c:v>
                </c:pt>
                <c:pt idx="39">
                  <c:v>25.4752122844037</c:v>
                </c:pt>
                <c:pt idx="40">
                  <c:v>26.087623859280075</c:v>
                </c:pt>
                <c:pt idx="41">
                  <c:v>26.922742927302185</c:v>
                </c:pt>
                <c:pt idx="42">
                  <c:v>27.526658437450191</c:v>
                </c:pt>
                <c:pt idx="43">
                  <c:v>28.268376106937151</c:v>
                </c:pt>
                <c:pt idx="44">
                  <c:v>29.058440572577794</c:v>
                </c:pt>
                <c:pt idx="45">
                  <c:v>29.380224099671487</c:v>
                </c:pt>
                <c:pt idx="46">
                  <c:v>30.290051688790715</c:v>
                </c:pt>
                <c:pt idx="47">
                  <c:v>30.744246502340925</c:v>
                </c:pt>
                <c:pt idx="48">
                  <c:v>32.496360333741215</c:v>
                </c:pt>
                <c:pt idx="49">
                  <c:v>33.557306003492151</c:v>
                </c:pt>
                <c:pt idx="50">
                  <c:v>33.78054063110973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0E9-4905-BEC1-399E327343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149440"/>
        <c:axId val="517150976"/>
      </c:lineChart>
      <c:catAx>
        <c:axId val="517149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17150976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51715097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mpg fuel economy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17149440"/>
        <c:crosses val="autoZero"/>
        <c:crossBetween val="midCat"/>
      </c:valAx>
    </c:plotArea>
    <c:legend>
      <c:legendPos val="t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1.tmp"/><Relationship Id="rId4" Type="http://schemas.openxmlformats.org/officeDocument/2006/relationships/image" Target="../media/image2.tmp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0.xml"/><Relationship Id="rId13" Type="http://schemas.openxmlformats.org/officeDocument/2006/relationships/image" Target="../media/image5.tmp"/><Relationship Id="rId3" Type="http://schemas.openxmlformats.org/officeDocument/2006/relationships/chart" Target="../charts/chart5.xml"/><Relationship Id="rId7" Type="http://schemas.openxmlformats.org/officeDocument/2006/relationships/chart" Target="../charts/chart9.xml"/><Relationship Id="rId12" Type="http://schemas.openxmlformats.org/officeDocument/2006/relationships/image" Target="../media/image4.tmp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6" Type="http://schemas.openxmlformats.org/officeDocument/2006/relationships/chart" Target="../charts/chart8.xml"/><Relationship Id="rId11" Type="http://schemas.openxmlformats.org/officeDocument/2006/relationships/image" Target="../media/image3.tmp"/><Relationship Id="rId5" Type="http://schemas.openxmlformats.org/officeDocument/2006/relationships/chart" Target="../charts/chart7.xml"/><Relationship Id="rId15" Type="http://schemas.openxmlformats.org/officeDocument/2006/relationships/image" Target="../media/image7.tmp"/><Relationship Id="rId10" Type="http://schemas.openxmlformats.org/officeDocument/2006/relationships/chart" Target="../charts/chart12.xml"/><Relationship Id="rId4" Type="http://schemas.openxmlformats.org/officeDocument/2006/relationships/chart" Target="../charts/chart6.xml"/><Relationship Id="rId9" Type="http://schemas.openxmlformats.org/officeDocument/2006/relationships/chart" Target="../charts/chart11.xml"/><Relationship Id="rId14" Type="http://schemas.openxmlformats.org/officeDocument/2006/relationships/image" Target="../media/image6.tmp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hyperlink" Target="https://www.bts.gov/" TargetMode="Externa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3.tm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2.tmp"/><Relationship Id="rId5" Type="http://schemas.openxmlformats.org/officeDocument/2006/relationships/chart" Target="../charts/chart13.xml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chart" Target="../charts/chart14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tmp"/><Relationship Id="rId1" Type="http://schemas.openxmlformats.org/officeDocument/2006/relationships/image" Target="../media/image15.tmp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tmp"/><Relationship Id="rId2" Type="http://schemas.openxmlformats.org/officeDocument/2006/relationships/image" Target="../media/image18.tmp"/><Relationship Id="rId1" Type="http://schemas.openxmlformats.org/officeDocument/2006/relationships/image" Target="../media/image17.tmp"/><Relationship Id="rId4" Type="http://schemas.openxmlformats.org/officeDocument/2006/relationships/image" Target="../media/image20.tmp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tmp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89</xdr:row>
      <xdr:rowOff>142875</xdr:rowOff>
    </xdr:from>
    <xdr:to>
      <xdr:col>2</xdr:col>
      <xdr:colOff>672146</xdr:colOff>
      <xdr:row>114</xdr:row>
      <xdr:rowOff>57151</xdr:rowOff>
    </xdr:to>
    <xdr:pic>
      <xdr:nvPicPr>
        <xdr:cNvPr id="4" name="Picture 3" descr="Screen Clipping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4333875"/>
          <a:ext cx="3046340" cy="4676775"/>
        </a:xfrm>
        <a:prstGeom prst="rect">
          <a:avLst/>
        </a:prstGeom>
      </xdr:spPr>
    </xdr:pic>
    <xdr:clientData/>
  </xdr:twoCellAnchor>
  <xdr:twoCellAnchor>
    <xdr:from>
      <xdr:col>5</xdr:col>
      <xdr:colOff>88900</xdr:colOff>
      <xdr:row>75</xdr:row>
      <xdr:rowOff>158750</xdr:rowOff>
    </xdr:from>
    <xdr:to>
      <xdr:col>17</xdr:col>
      <xdr:colOff>571500</xdr:colOff>
      <xdr:row>96</xdr:row>
      <xdr:rowOff>25400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430389</xdr:colOff>
      <xdr:row>0</xdr:row>
      <xdr:rowOff>64206</xdr:rowOff>
    </xdr:from>
    <xdr:to>
      <xdr:col>11</xdr:col>
      <xdr:colOff>437444</xdr:colOff>
      <xdr:row>20</xdr:row>
      <xdr:rowOff>21167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14</xdr:col>
      <xdr:colOff>190499</xdr:colOff>
      <xdr:row>6</xdr:row>
      <xdr:rowOff>86574</xdr:rowOff>
    </xdr:from>
    <xdr:to>
      <xdr:col>20</xdr:col>
      <xdr:colOff>3831</xdr:colOff>
      <xdr:row>20</xdr:row>
      <xdr:rowOff>82069</xdr:rowOff>
    </xdr:to>
    <xdr:pic>
      <xdr:nvPicPr>
        <xdr:cNvPr id="7" name="Picture 6" descr="Screen Clippin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15221" y="1187241"/>
          <a:ext cx="3453999" cy="256371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476250</xdr:colOff>
      <xdr:row>5</xdr:row>
      <xdr:rowOff>20247</xdr:rowOff>
    </xdr:from>
    <xdr:to>
      <xdr:col>15</xdr:col>
      <xdr:colOff>30480</xdr:colOff>
      <xdr:row>23</xdr:row>
      <xdr:rowOff>20954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3850" y="972747"/>
          <a:ext cx="5040630" cy="3429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251460</xdr:colOff>
      <xdr:row>9</xdr:row>
      <xdr:rowOff>7620</xdr:rowOff>
    </xdr:from>
    <xdr:to>
      <xdr:col>15</xdr:col>
      <xdr:colOff>15240</xdr:colOff>
      <xdr:row>26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2643"/>
        <a:stretch/>
      </xdr:blipFill>
      <xdr:spPr bwMode="auto">
        <a:xfrm>
          <a:off x="4518660" y="1653540"/>
          <a:ext cx="4328160" cy="3139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121920</xdr:colOff>
      <xdr:row>49</xdr:row>
      <xdr:rowOff>53340</xdr:rowOff>
    </xdr:from>
    <xdr:to>
      <xdr:col>13</xdr:col>
      <xdr:colOff>678180</xdr:colOff>
      <xdr:row>66</xdr:row>
      <xdr:rowOff>144780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9120" y="9014460"/>
          <a:ext cx="4213860" cy="3200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83820</xdr:colOff>
      <xdr:row>30</xdr:row>
      <xdr:rowOff>0</xdr:rowOff>
    </xdr:from>
    <xdr:to>
      <xdr:col>13</xdr:col>
      <xdr:colOff>754380</xdr:colOff>
      <xdr:row>49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6323" b="114"/>
        <a:stretch/>
      </xdr:blipFill>
      <xdr:spPr bwMode="auto">
        <a:xfrm>
          <a:off x="4351020" y="5486400"/>
          <a:ext cx="4328160" cy="3550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350520</xdr:colOff>
      <xdr:row>18</xdr:row>
      <xdr:rowOff>85808</xdr:rowOff>
    </xdr:from>
    <xdr:to>
      <xdr:col>10</xdr:col>
      <xdr:colOff>556260</xdr:colOff>
      <xdr:row>48</xdr:row>
      <xdr:rowOff>85808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9840" y="3377648"/>
          <a:ext cx="2887980" cy="548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469461</xdr:colOff>
      <xdr:row>18</xdr:row>
      <xdr:rowOff>31142</xdr:rowOff>
    </xdr:from>
    <xdr:to>
      <xdr:col>27</xdr:col>
      <xdr:colOff>309441</xdr:colOff>
      <xdr:row>55</xdr:row>
      <xdr:rowOff>125233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28501" y="3322982"/>
          <a:ext cx="7338060" cy="6860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424098</xdr:colOff>
      <xdr:row>3</xdr:row>
      <xdr:rowOff>114300</xdr:rowOff>
    </xdr:from>
    <xdr:to>
      <xdr:col>19</xdr:col>
      <xdr:colOff>251460</xdr:colOff>
      <xdr:row>25</xdr:row>
      <xdr:rowOff>57132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20098" y="662940"/>
          <a:ext cx="5313762" cy="3966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472440</xdr:colOff>
      <xdr:row>20</xdr:row>
      <xdr:rowOff>38100</xdr:rowOff>
    </xdr:from>
    <xdr:to>
      <xdr:col>20</xdr:col>
      <xdr:colOff>167640</xdr:colOff>
      <xdr:row>44</xdr:row>
      <xdr:rowOff>13909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8440" y="3695700"/>
          <a:ext cx="5791200" cy="4364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152400</xdr:colOff>
      <xdr:row>41</xdr:row>
      <xdr:rowOff>60960</xdr:rowOff>
    </xdr:from>
    <xdr:to>
      <xdr:col>20</xdr:col>
      <xdr:colOff>386080</xdr:colOff>
      <xdr:row>64</xdr:row>
      <xdr:rowOff>144780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7559040"/>
          <a:ext cx="5720080" cy="4290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3138</xdr:colOff>
      <xdr:row>0</xdr:row>
      <xdr:rowOff>171226</xdr:rowOff>
    </xdr:from>
    <xdr:to>
      <xdr:col>22</xdr:col>
      <xdr:colOff>502467</xdr:colOff>
      <xdr:row>39</xdr:row>
      <xdr:rowOff>125506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9138" y="171226"/>
          <a:ext cx="7814529" cy="694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45720</xdr:colOff>
      <xdr:row>3</xdr:row>
      <xdr:rowOff>15240</xdr:rowOff>
    </xdr:from>
    <xdr:to>
      <xdr:col>20</xdr:col>
      <xdr:colOff>7620</xdr:colOff>
      <xdr:row>28</xdr:row>
      <xdr:rowOff>175260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1720" y="563880"/>
          <a:ext cx="5448300" cy="473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251460</xdr:colOff>
      <xdr:row>6</xdr:row>
      <xdr:rowOff>106680</xdr:rowOff>
    </xdr:from>
    <xdr:to>
      <xdr:col>29</xdr:col>
      <xdr:colOff>320040</xdr:colOff>
      <xdr:row>29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3460" y="1203960"/>
          <a:ext cx="5554980" cy="4213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297180</xdr:colOff>
      <xdr:row>2</xdr:row>
      <xdr:rowOff>0</xdr:rowOff>
    </xdr:from>
    <xdr:to>
      <xdr:col>21</xdr:col>
      <xdr:colOff>533400</xdr:colOff>
      <xdr:row>35</xdr:row>
      <xdr:rowOff>141894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2780" y="365760"/>
          <a:ext cx="6332220" cy="6176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220980</xdr:colOff>
      <xdr:row>2</xdr:row>
      <xdr:rowOff>7620</xdr:rowOff>
    </xdr:from>
    <xdr:to>
      <xdr:col>22</xdr:col>
      <xdr:colOff>228599</xdr:colOff>
      <xdr:row>27</xdr:row>
      <xdr:rowOff>167640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" t="-314" r="42" b="2827"/>
        <a:stretch/>
      </xdr:blipFill>
      <xdr:spPr bwMode="auto">
        <a:xfrm>
          <a:off x="5707380" y="373380"/>
          <a:ext cx="7932419" cy="473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411480</xdr:colOff>
      <xdr:row>3</xdr:row>
      <xdr:rowOff>152400</xdr:rowOff>
    </xdr:from>
    <xdr:to>
      <xdr:col>20</xdr:col>
      <xdr:colOff>220980</xdr:colOff>
      <xdr:row>40</xdr:row>
      <xdr:rowOff>129540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8680" y="701040"/>
          <a:ext cx="7734300" cy="674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480060</xdr:colOff>
      <xdr:row>0</xdr:row>
      <xdr:rowOff>68580</xdr:rowOff>
    </xdr:from>
    <xdr:to>
      <xdr:col>16</xdr:col>
      <xdr:colOff>101704</xdr:colOff>
      <xdr:row>26</xdr:row>
      <xdr:rowOff>30480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7660" y="68580"/>
          <a:ext cx="5717644" cy="471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540544</xdr:colOff>
      <xdr:row>52</xdr:row>
      <xdr:rowOff>169069</xdr:rowOff>
    </xdr:from>
    <xdr:to>
      <xdr:col>39</xdr:col>
      <xdr:colOff>378619</xdr:colOff>
      <xdr:row>67</xdr:row>
      <xdr:rowOff>16669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95250</xdr:colOff>
      <xdr:row>52</xdr:row>
      <xdr:rowOff>142875</xdr:rowOff>
    </xdr:from>
    <xdr:to>
      <xdr:col>19</xdr:col>
      <xdr:colOff>352425</xdr:colOff>
      <xdr:row>67</xdr:row>
      <xdr:rowOff>19051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19048</xdr:colOff>
      <xdr:row>66</xdr:row>
      <xdr:rowOff>180975</xdr:rowOff>
    </xdr:from>
    <xdr:to>
      <xdr:col>29</xdr:col>
      <xdr:colOff>600075</xdr:colOff>
      <xdr:row>92</xdr:row>
      <xdr:rowOff>9525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19</xdr:col>
      <xdr:colOff>488156</xdr:colOff>
      <xdr:row>53</xdr:row>
      <xdr:rowOff>121444</xdr:rowOff>
    </xdr:from>
    <xdr:to>
      <xdr:col>29</xdr:col>
      <xdr:colOff>116681</xdr:colOff>
      <xdr:row>69</xdr:row>
      <xdr:rowOff>45244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90487</xdr:colOff>
      <xdr:row>75</xdr:row>
      <xdr:rowOff>166688</xdr:rowOff>
    </xdr:from>
    <xdr:to>
      <xdr:col>19</xdr:col>
      <xdr:colOff>204787</xdr:colOff>
      <xdr:row>89</xdr:row>
      <xdr:rowOff>109538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2609850</xdr:colOff>
      <xdr:row>75</xdr:row>
      <xdr:rowOff>164306</xdr:rowOff>
    </xdr:from>
    <xdr:to>
      <xdr:col>10</xdr:col>
      <xdr:colOff>238125</xdr:colOff>
      <xdr:row>90</xdr:row>
      <xdr:rowOff>50006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75</xdr:row>
      <xdr:rowOff>178594</xdr:rowOff>
    </xdr:from>
    <xdr:to>
      <xdr:col>2</xdr:col>
      <xdr:colOff>2305050</xdr:colOff>
      <xdr:row>90</xdr:row>
      <xdr:rowOff>64294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176213</xdr:colOff>
      <xdr:row>52</xdr:row>
      <xdr:rowOff>121445</xdr:rowOff>
    </xdr:from>
    <xdr:to>
      <xdr:col>9</xdr:col>
      <xdr:colOff>369095</xdr:colOff>
      <xdr:row>74</xdr:row>
      <xdr:rowOff>71439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40</xdr:col>
      <xdr:colOff>0</xdr:colOff>
      <xdr:row>52</xdr:row>
      <xdr:rowOff>95250</xdr:rowOff>
    </xdr:from>
    <xdr:to>
      <xdr:col>55</xdr:col>
      <xdr:colOff>590550</xdr:colOff>
      <xdr:row>71</xdr:row>
      <xdr:rowOff>161925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40</xdr:col>
      <xdr:colOff>129647</xdr:colOff>
      <xdr:row>0</xdr:row>
      <xdr:rowOff>91281</xdr:rowOff>
    </xdr:from>
    <xdr:to>
      <xdr:col>52</xdr:col>
      <xdr:colOff>70115</xdr:colOff>
      <xdr:row>20</xdr:row>
      <xdr:rowOff>103187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 editAs="oneCell">
    <xdr:from>
      <xdr:col>24</xdr:col>
      <xdr:colOff>486077</xdr:colOff>
      <xdr:row>4</xdr:row>
      <xdr:rowOff>10583</xdr:rowOff>
    </xdr:from>
    <xdr:to>
      <xdr:col>32</xdr:col>
      <xdr:colOff>438149</xdr:colOff>
      <xdr:row>22</xdr:row>
      <xdr:rowOff>36144</xdr:rowOff>
    </xdr:to>
    <xdr:pic>
      <xdr:nvPicPr>
        <xdr:cNvPr id="12" name="Picture 11" descr="Screen Clipping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902" y="772583"/>
          <a:ext cx="4828873" cy="3483136"/>
        </a:xfrm>
        <a:prstGeom prst="rect">
          <a:avLst/>
        </a:prstGeom>
      </xdr:spPr>
    </xdr:pic>
    <xdr:clientData/>
  </xdr:twoCellAnchor>
  <xdr:twoCellAnchor editAs="oneCell">
    <xdr:from>
      <xdr:col>32</xdr:col>
      <xdr:colOff>455083</xdr:colOff>
      <xdr:row>4</xdr:row>
      <xdr:rowOff>16932</xdr:rowOff>
    </xdr:from>
    <xdr:to>
      <xdr:col>39</xdr:col>
      <xdr:colOff>409104</xdr:colOff>
      <xdr:row>19</xdr:row>
      <xdr:rowOff>181399</xdr:rowOff>
    </xdr:to>
    <xdr:pic>
      <xdr:nvPicPr>
        <xdr:cNvPr id="13" name="Picture 12" descr="Screen Clippin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743708" y="778932"/>
          <a:ext cx="4221221" cy="3041017"/>
        </a:xfrm>
        <a:prstGeom prst="rect">
          <a:avLst/>
        </a:prstGeom>
      </xdr:spPr>
    </xdr:pic>
    <xdr:clientData/>
  </xdr:twoCellAnchor>
  <xdr:twoCellAnchor editAs="oneCell">
    <xdr:from>
      <xdr:col>3</xdr:col>
      <xdr:colOff>190499</xdr:colOff>
      <xdr:row>153</xdr:row>
      <xdr:rowOff>96448</xdr:rowOff>
    </xdr:from>
    <xdr:to>
      <xdr:col>8</xdr:col>
      <xdr:colOff>585106</xdr:colOff>
      <xdr:row>165</xdr:row>
      <xdr:rowOff>76915</xdr:rowOff>
    </xdr:to>
    <xdr:pic>
      <xdr:nvPicPr>
        <xdr:cNvPr id="14" name="Picture 13" descr="Screen Clipping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49" y="29283769"/>
          <a:ext cx="3442607" cy="2266467"/>
        </a:xfrm>
        <a:prstGeom prst="rect">
          <a:avLst/>
        </a:prstGeom>
      </xdr:spPr>
    </xdr:pic>
    <xdr:clientData/>
  </xdr:twoCellAnchor>
  <xdr:twoCellAnchor editAs="oneCell">
    <xdr:from>
      <xdr:col>9</xdr:col>
      <xdr:colOff>163286</xdr:colOff>
      <xdr:row>153</xdr:row>
      <xdr:rowOff>176893</xdr:rowOff>
    </xdr:from>
    <xdr:to>
      <xdr:col>17</xdr:col>
      <xdr:colOff>596836</xdr:colOff>
      <xdr:row>165</xdr:row>
      <xdr:rowOff>110528</xdr:rowOff>
    </xdr:to>
    <xdr:pic>
      <xdr:nvPicPr>
        <xdr:cNvPr id="15" name="Picture 14" descr="Screen Clipping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3357" y="29364214"/>
          <a:ext cx="6039693" cy="22196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2</xdr:col>
      <xdr:colOff>3170465</xdr:colOff>
      <xdr:row>164</xdr:row>
      <xdr:rowOff>39769</xdr:rowOff>
    </xdr:to>
    <xdr:pic>
      <xdr:nvPicPr>
        <xdr:cNvPr id="16" name="Picture 15" descr="Screen Clipping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568321"/>
          <a:ext cx="4816929" cy="175426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</xdr:colOff>
      <xdr:row>3</xdr:row>
      <xdr:rowOff>129540</xdr:rowOff>
    </xdr:from>
    <xdr:to>
      <xdr:col>14</xdr:col>
      <xdr:colOff>327660</xdr:colOff>
      <xdr:row>24</xdr:row>
      <xdr:rowOff>99060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72840" y="678180"/>
          <a:ext cx="518922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342900</xdr:colOff>
      <xdr:row>3</xdr:row>
      <xdr:rowOff>99060</xdr:rowOff>
    </xdr:from>
    <xdr:to>
      <xdr:col>23</xdr:col>
      <xdr:colOff>487680</xdr:colOff>
      <xdr:row>25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7300" y="647700"/>
          <a:ext cx="5631180" cy="392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16</xdr:col>
      <xdr:colOff>373380</xdr:colOff>
      <xdr:row>26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14400"/>
          <a:ext cx="7688580" cy="3931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202986</xdr:colOff>
      <xdr:row>2</xdr:row>
      <xdr:rowOff>106680</xdr:rowOff>
    </xdr:from>
    <xdr:to>
      <xdr:col>15</xdr:col>
      <xdr:colOff>594359</xdr:colOff>
      <xdr:row>23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0986" y="472440"/>
          <a:ext cx="6487373" cy="3848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464819</xdr:colOff>
      <xdr:row>31</xdr:row>
      <xdr:rowOff>144780</xdr:rowOff>
    </xdr:from>
    <xdr:to>
      <xdr:col>18</xdr:col>
      <xdr:colOff>276836</xdr:colOff>
      <xdr:row>50</xdr:row>
      <xdr:rowOff>91440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22419" y="5814060"/>
          <a:ext cx="7127217" cy="3421380"/>
        </a:xfrm>
        <a:prstGeom prst="rect">
          <a:avLst/>
        </a:prstGeom>
      </xdr:spPr>
    </xdr:pic>
    <xdr:clientData/>
  </xdr:twoCellAnchor>
  <xdr:twoCellAnchor editAs="oneCell">
    <xdr:from>
      <xdr:col>6</xdr:col>
      <xdr:colOff>495300</xdr:colOff>
      <xdr:row>0</xdr:row>
      <xdr:rowOff>0</xdr:rowOff>
    </xdr:from>
    <xdr:to>
      <xdr:col>17</xdr:col>
      <xdr:colOff>572088</xdr:colOff>
      <xdr:row>31</xdr:row>
      <xdr:rowOff>168146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52900" y="0"/>
          <a:ext cx="6782388" cy="5837426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455252</xdr:colOff>
      <xdr:row>2</xdr:row>
      <xdr:rowOff>38100</xdr:rowOff>
    </xdr:from>
    <xdr:to>
      <xdr:col>15</xdr:col>
      <xdr:colOff>228600</xdr:colOff>
      <xdr:row>25</xdr:row>
      <xdr:rowOff>68580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3652" y="403860"/>
          <a:ext cx="6478948" cy="4236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121920</xdr:colOff>
      <xdr:row>3</xdr:row>
      <xdr:rowOff>84338</xdr:rowOff>
    </xdr:from>
    <xdr:to>
      <xdr:col>23</xdr:col>
      <xdr:colOff>121920</xdr:colOff>
      <xdr:row>20</xdr:row>
      <xdr:rowOff>83820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98720" y="632978"/>
          <a:ext cx="9144000" cy="3108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304800</xdr:colOff>
      <xdr:row>1</xdr:row>
      <xdr:rowOff>121920</xdr:rowOff>
    </xdr:to>
    <xdr:sp macro="" textlink="">
      <xdr:nvSpPr>
        <xdr:cNvPr id="21505" name="AutoShape 1" descr="Home">
          <a:hlinkClick xmlns:r="http://schemas.openxmlformats.org/officeDocument/2006/relationships" r:id="rId1" tooltip="Home"/>
          <a:extLst>
            <a:ext uri="{FF2B5EF4-FFF2-40B4-BE49-F238E27FC236}">
              <a16:creationId xmlns:a16="http://schemas.microsoft.com/office/drawing/2014/main" id="{00000000-0008-0000-2100-000001540000}"/>
            </a:ext>
          </a:extLst>
        </xdr:cNvPr>
        <xdr:cNvSpPr>
          <a:spLocks noChangeAspect="1" noChangeArrowheads="1"/>
        </xdr:cNvSpPr>
      </xdr:nvSpPr>
      <xdr:spPr bwMode="auto">
        <a:xfrm>
          <a:off x="0" y="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388620</xdr:colOff>
      <xdr:row>3</xdr:row>
      <xdr:rowOff>31690</xdr:rowOff>
    </xdr:from>
    <xdr:to>
      <xdr:col>24</xdr:col>
      <xdr:colOff>53340</xdr:colOff>
      <xdr:row>32</xdr:row>
      <xdr:rowOff>99059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2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36620" y="580330"/>
          <a:ext cx="11247120" cy="5370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333486</xdr:colOff>
      <xdr:row>1</xdr:row>
      <xdr:rowOff>84716</xdr:rowOff>
    </xdr:from>
    <xdr:to>
      <xdr:col>18</xdr:col>
      <xdr:colOff>303006</xdr:colOff>
      <xdr:row>20</xdr:row>
      <xdr:rowOff>9308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0686" y="264010"/>
          <a:ext cx="6675120" cy="3331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62753</xdr:colOff>
      <xdr:row>20</xdr:row>
      <xdr:rowOff>161364</xdr:rowOff>
    </xdr:from>
    <xdr:to>
      <xdr:col>19</xdr:col>
      <xdr:colOff>394197</xdr:colOff>
      <xdr:row>35</xdr:row>
      <xdr:rowOff>157330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9553" y="3747246"/>
          <a:ext cx="7037044" cy="2685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459441</xdr:colOff>
      <xdr:row>37</xdr:row>
      <xdr:rowOff>123265</xdr:rowOff>
    </xdr:from>
    <xdr:to>
      <xdr:col>20</xdr:col>
      <xdr:colOff>29583</xdr:colOff>
      <xdr:row>55</xdr:row>
      <xdr:rowOff>47065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78941" y="7171765"/>
          <a:ext cx="8646907" cy="335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358589</xdr:colOff>
      <xdr:row>57</xdr:row>
      <xdr:rowOff>103094</xdr:rowOff>
    </xdr:from>
    <xdr:to>
      <xdr:col>23</xdr:col>
      <xdr:colOff>43031</xdr:colOff>
      <xdr:row>76</xdr:row>
      <xdr:rowOff>80234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3442" y="10961594"/>
          <a:ext cx="8761207" cy="3596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291352</xdr:colOff>
      <xdr:row>80</xdr:row>
      <xdr:rowOff>6725</xdr:rowOff>
    </xdr:from>
    <xdr:to>
      <xdr:col>12</xdr:col>
      <xdr:colOff>44823</xdr:colOff>
      <xdr:row>118</xdr:row>
      <xdr:rowOff>134471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20</xdr:col>
      <xdr:colOff>0</xdr:colOff>
      <xdr:row>2</xdr:row>
      <xdr:rowOff>0</xdr:rowOff>
    </xdr:from>
    <xdr:to>
      <xdr:col>29</xdr:col>
      <xdr:colOff>326897</xdr:colOff>
      <xdr:row>30</xdr:row>
      <xdr:rowOff>143639</xdr:rowOff>
    </xdr:to>
    <xdr:pic>
      <xdr:nvPicPr>
        <xdr:cNvPr id="7" name="Picture 6" descr="Screen Clipping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96265" y="381000"/>
          <a:ext cx="5772956" cy="5477639"/>
        </a:xfrm>
        <a:prstGeom prst="rect">
          <a:avLst/>
        </a:prstGeom>
      </xdr:spPr>
    </xdr:pic>
    <xdr:clientData/>
  </xdr:twoCellAnchor>
  <xdr:twoCellAnchor editAs="oneCell">
    <xdr:from>
      <xdr:col>0</xdr:col>
      <xdr:colOff>216648</xdr:colOff>
      <xdr:row>59</xdr:row>
      <xdr:rowOff>37265</xdr:rowOff>
    </xdr:from>
    <xdr:to>
      <xdr:col>7</xdr:col>
      <xdr:colOff>302177</xdr:colOff>
      <xdr:row>76</xdr:row>
      <xdr:rowOff>89647</xdr:rowOff>
    </xdr:to>
    <xdr:pic>
      <xdr:nvPicPr>
        <xdr:cNvPr id="8" name="Picture 7" descr="Screen Clipping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648" y="11056383"/>
          <a:ext cx="5016117" cy="322738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133349</xdr:colOff>
      <xdr:row>2</xdr:row>
      <xdr:rowOff>38100</xdr:rowOff>
    </xdr:from>
    <xdr:to>
      <xdr:col>14</xdr:col>
      <xdr:colOff>152399</xdr:colOff>
      <xdr:row>30</xdr:row>
      <xdr:rowOff>152400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133350</xdr:colOff>
      <xdr:row>0</xdr:row>
      <xdr:rowOff>76200</xdr:rowOff>
    </xdr:from>
    <xdr:to>
      <xdr:col>26</xdr:col>
      <xdr:colOff>532481</xdr:colOff>
      <xdr:row>31</xdr:row>
      <xdr:rowOff>94509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0650" y="76200"/>
          <a:ext cx="7352381" cy="59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10</xdr:col>
      <xdr:colOff>571843</xdr:colOff>
      <xdr:row>18</xdr:row>
      <xdr:rowOff>25534</xdr:rowOff>
    </xdr:to>
    <xdr:pic>
      <xdr:nvPicPr>
        <xdr:cNvPr id="2" name="Picture 1" descr="Screen Clippi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6600"/>
          <a:ext cx="6667843" cy="26036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9</xdr:col>
      <xdr:colOff>578162</xdr:colOff>
      <xdr:row>37</xdr:row>
      <xdr:rowOff>114467</xdr:rowOff>
    </xdr:to>
    <xdr:pic>
      <xdr:nvPicPr>
        <xdr:cNvPr id="3" name="Picture 2" descr="Screen Clippi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83000"/>
          <a:ext cx="6064562" cy="324501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381000</xdr:colOff>
      <xdr:row>29</xdr:row>
      <xdr:rowOff>19050</xdr:rowOff>
    </xdr:from>
    <xdr:to>
      <xdr:col>13</xdr:col>
      <xdr:colOff>333794</xdr:colOff>
      <xdr:row>40</xdr:row>
      <xdr:rowOff>105079</xdr:rowOff>
    </xdr:to>
    <xdr:pic>
      <xdr:nvPicPr>
        <xdr:cNvPr id="2" name="Picture 1" descr="Screen Clippin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00" y="5543550"/>
          <a:ext cx="3000794" cy="2181529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447676</xdr:colOff>
      <xdr:row>27</xdr:row>
      <xdr:rowOff>66675</xdr:rowOff>
    </xdr:from>
    <xdr:to>
      <xdr:col>7</xdr:col>
      <xdr:colOff>352426</xdr:colOff>
      <xdr:row>41</xdr:row>
      <xdr:rowOff>31486</xdr:rowOff>
    </xdr:to>
    <xdr:pic>
      <xdr:nvPicPr>
        <xdr:cNvPr id="3" name="Picture 2" descr="Screen Clippin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676" y="5210175"/>
          <a:ext cx="4972050" cy="2631811"/>
        </a:xfrm>
        <a:prstGeom prst="rect">
          <a:avLst/>
        </a:prstGeom>
      </xdr:spPr>
    </xdr:pic>
    <xdr:clientData/>
  </xdr:twoCellAnchor>
  <xdr:twoCellAnchor editAs="oneCell">
    <xdr:from>
      <xdr:col>8</xdr:col>
      <xdr:colOff>161925</xdr:colOff>
      <xdr:row>52</xdr:row>
      <xdr:rowOff>152400</xdr:rowOff>
    </xdr:from>
    <xdr:to>
      <xdr:col>17</xdr:col>
      <xdr:colOff>305586</xdr:colOff>
      <xdr:row>58</xdr:row>
      <xdr:rowOff>171612</xdr:rowOff>
    </xdr:to>
    <xdr:pic>
      <xdr:nvPicPr>
        <xdr:cNvPr id="4" name="Picture 3" descr="Screen Clippin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8825" y="10058400"/>
          <a:ext cx="5630061" cy="1162212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48</xdr:row>
      <xdr:rowOff>114300</xdr:rowOff>
    </xdr:from>
    <xdr:to>
      <xdr:col>7</xdr:col>
      <xdr:colOff>553197</xdr:colOff>
      <xdr:row>62</xdr:row>
      <xdr:rowOff>76567</xdr:rowOff>
    </xdr:to>
    <xdr:pic>
      <xdr:nvPicPr>
        <xdr:cNvPr id="5" name="Picture 4" descr="Screen Clippin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9258300"/>
          <a:ext cx="5353797" cy="262926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178846</xdr:colOff>
      <xdr:row>44</xdr:row>
      <xdr:rowOff>153745</xdr:rowOff>
    </xdr:from>
    <xdr:to>
      <xdr:col>24</xdr:col>
      <xdr:colOff>445546</xdr:colOff>
      <xdr:row>78</xdr:row>
      <xdr:rowOff>116093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8405" y="1106245"/>
          <a:ext cx="8133229" cy="6461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121920</xdr:colOff>
      <xdr:row>76</xdr:row>
      <xdr:rowOff>53340</xdr:rowOff>
    </xdr:from>
    <xdr:to>
      <xdr:col>24</xdr:col>
      <xdr:colOff>495300</xdr:colOff>
      <xdr:row>100</xdr:row>
      <xdr:rowOff>129540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5080" y="6819900"/>
          <a:ext cx="8298180" cy="446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156882</xdr:colOff>
      <xdr:row>3</xdr:row>
      <xdr:rowOff>40956</xdr:rowOff>
    </xdr:from>
    <xdr:to>
      <xdr:col>22</xdr:col>
      <xdr:colOff>455312</xdr:colOff>
      <xdr:row>17</xdr:row>
      <xdr:rowOff>187173</xdr:rowOff>
    </xdr:to>
    <xdr:pic>
      <xdr:nvPicPr>
        <xdr:cNvPr id="4" name="Picture 3" descr="Screen Clippin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6441" y="612456"/>
          <a:ext cx="6954724" cy="281321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281940</xdr:colOff>
      <xdr:row>1</xdr:row>
      <xdr:rowOff>68580</xdr:rowOff>
    </xdr:from>
    <xdr:to>
      <xdr:col>17</xdr:col>
      <xdr:colOff>411914</xdr:colOff>
      <xdr:row>18</xdr:row>
      <xdr:rowOff>15239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2604"/>
        <a:stretch/>
      </xdr:blipFill>
      <xdr:spPr>
        <a:xfrm>
          <a:off x="5768340" y="251460"/>
          <a:ext cx="5006774" cy="3055619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19</xdr:row>
      <xdr:rowOff>38100</xdr:rowOff>
    </xdr:from>
    <xdr:to>
      <xdr:col>18</xdr:col>
      <xdr:colOff>15674</xdr:colOff>
      <xdr:row>37</xdr:row>
      <xdr:rowOff>76759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8341"/>
        <a:stretch/>
      </xdr:blipFill>
      <xdr:spPr>
        <a:xfrm>
          <a:off x="5981700" y="3512820"/>
          <a:ext cx="5006774" cy="333049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335280</xdr:colOff>
      <xdr:row>6</xdr:row>
      <xdr:rowOff>68580</xdr:rowOff>
    </xdr:from>
    <xdr:to>
      <xdr:col>19</xdr:col>
      <xdr:colOff>563880</xdr:colOff>
      <xdr:row>26</xdr:row>
      <xdr:rowOff>22860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0880" y="1165860"/>
          <a:ext cx="5105400" cy="3611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virago.internal.dtlr.gov.uk\data\2005Publications\RoRo%20Q2_2005\Bulletin205draft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earzm/Dropbox/Fellowship%201960-2015%20PFU%20database/Country-level%20exergy%20accounting%20data/GHA/GHA%20FU%20Analysis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earzm/Dropbox/Fellowship%201960-2015%20PFU%20database/Data/Machines%20-%20Data/Charcoal%20stoves/Charcoal%20stoves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virago.internal.dtlr.gov.uk\data\Publications%20&amp;%20DataProvision\SR2\Annual%20Bulletin%20working%20version\work\Sect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virago.internal.dtlr.gov.uk\data\TSGB1998\SECTION1\1-13-98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virago.internal.dtlr.gov.uk\data\IRHS\EXCEL\RORO\bulletins\2003\SA%20Changes\SA%20Changes%20to%20bulletin%20-%20draf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mmentarySA"/>
      <sheetName val="TABLE1a"/>
      <sheetName val="TABLE1b"/>
      <sheetName val="TABLE2"/>
      <sheetName val="TABLE2cont.."/>
      <sheetName val="TABLE3"/>
      <sheetName val="TABLE3a"/>
      <sheetName val="TABLE3b"/>
      <sheetName val="TABLE4AL"/>
      <sheetName val="TABLE4a"/>
      <sheetName val="TABLE4b"/>
      <sheetName val="TABLE5"/>
      <sheetName val="Routes"/>
      <sheetName val="FiguresSA -do not print"/>
      <sheetName val="TABLE2cont__22"/>
      <sheetName val="FiguresSA_-do_not_print22"/>
      <sheetName val="TABLE2cont__8"/>
      <sheetName val="FiguresSA_-do_not_print8"/>
      <sheetName val="TABLE2cont__2"/>
      <sheetName val="FiguresSA_-do_not_print2"/>
      <sheetName val="TABLE2cont__"/>
      <sheetName val="FiguresSA_-do_not_print"/>
      <sheetName val="TABLE2cont__1"/>
      <sheetName val="FiguresSA_-do_not_print1"/>
      <sheetName val="TABLE2cont__4"/>
      <sheetName val="FiguresSA_-do_not_print4"/>
      <sheetName val="TABLE2cont__3"/>
      <sheetName val="FiguresSA_-do_not_print3"/>
      <sheetName val="TABLE2cont__5"/>
      <sheetName val="FiguresSA_-do_not_print5"/>
      <sheetName val="TABLE2cont__6"/>
      <sheetName val="FiguresSA_-do_not_print6"/>
      <sheetName val="TABLE2cont__7"/>
      <sheetName val="FiguresSA_-do_not_print7"/>
      <sheetName val="TABLE2cont__10"/>
      <sheetName val="FiguresSA_-do_not_print10"/>
      <sheetName val="TABLE2cont__9"/>
      <sheetName val="FiguresSA_-do_not_print9"/>
      <sheetName val="TABLE2cont__12"/>
      <sheetName val="FiguresSA_-do_not_print12"/>
      <sheetName val="TABLE2cont__11"/>
      <sheetName val="FiguresSA_-do_not_print11"/>
      <sheetName val="TABLE2cont__13"/>
      <sheetName val="FiguresSA_-do_not_print13"/>
      <sheetName val="TABLE2cont__14"/>
      <sheetName val="FiguresSA_-do_not_print14"/>
      <sheetName val="TABLE2cont__15"/>
      <sheetName val="FiguresSA_-do_not_print15"/>
      <sheetName val="Year"/>
      <sheetName val="c11"/>
      <sheetName val="TIS-INDEX"/>
      <sheetName val="TABLE2cont__16"/>
      <sheetName val="FiguresSA_-do_not_print16"/>
      <sheetName val="TABLE2cont__17"/>
      <sheetName val="FiguresSA_-do_not_print17"/>
      <sheetName val="TABLE2cont__18"/>
      <sheetName val="FiguresSA_-do_not_print18"/>
      <sheetName val="TABLE2cont__19"/>
      <sheetName val="FiguresSA_-do_not_print19"/>
      <sheetName val="TABLE2cont__21"/>
      <sheetName val="FiguresSA_-do_not_print21"/>
      <sheetName val="TABLE2cont__20"/>
      <sheetName val="FiguresSA_-do_not_print20"/>
      <sheetName val="TABLE2cont__23"/>
      <sheetName val="FiguresSA_-do_not_print23"/>
    </sheetNames>
    <sheetDataSet>
      <sheetData sheetId="0" refreshError="1"/>
      <sheetData sheetId="1">
        <row r="1">
          <cell r="A1" t="str">
            <v>Table 1a   Road goods vehicles travelling to mainland Europe</v>
          </cell>
        </row>
        <row r="2">
          <cell r="A2" t="str">
            <v xml:space="preserve"> </v>
          </cell>
        </row>
        <row r="3">
          <cell r="O3" t="str">
            <v>Thousands</v>
          </cell>
        </row>
        <row r="4">
          <cell r="E4" t="str">
            <v xml:space="preserve">          Powered vehicles by country of registration </v>
          </cell>
          <cell r="M4" t="str">
            <v xml:space="preserve"> </v>
          </cell>
          <cell r="O4" t="str">
            <v xml:space="preserve"> </v>
          </cell>
        </row>
        <row r="5">
          <cell r="M5" t="str">
            <v>Unaccompanied</v>
          </cell>
          <cell r="O5" t="str">
            <v>All</v>
          </cell>
        </row>
        <row r="6">
          <cell r="A6" t="str">
            <v>Year</v>
          </cell>
          <cell r="E6" t="str">
            <v xml:space="preserve">      UK</v>
          </cell>
          <cell r="G6" t="str">
            <v>Foreign</v>
          </cell>
          <cell r="I6" t="str">
            <v>Unknown</v>
          </cell>
          <cell r="K6" t="str">
            <v xml:space="preserve">   Total</v>
          </cell>
          <cell r="M6" t="str">
            <v>trailers</v>
          </cell>
          <cell r="O6" t="str">
            <v>vehicles</v>
          </cell>
        </row>
        <row r="8">
          <cell r="A8" t="str">
            <v>1990</v>
          </cell>
          <cell r="E8">
            <v>338.98700000000002</v>
          </cell>
          <cell r="G8">
            <v>382.94099999999997</v>
          </cell>
          <cell r="I8">
            <v>1.7490000000000001</v>
          </cell>
          <cell r="K8">
            <v>723.67700000000002</v>
          </cell>
          <cell r="M8">
            <v>583.88400000000001</v>
          </cell>
          <cell r="O8">
            <v>1307.5609999999999</v>
          </cell>
        </row>
        <row r="9">
          <cell r="A9" t="str">
            <v>1991</v>
          </cell>
          <cell r="E9">
            <v>360.2</v>
          </cell>
          <cell r="G9">
            <v>362.9</v>
          </cell>
          <cell r="I9">
            <v>2.4</v>
          </cell>
          <cell r="K9">
            <v>725.5</v>
          </cell>
          <cell r="M9">
            <v>601.20000000000005</v>
          </cell>
          <cell r="O9">
            <v>1326.7</v>
          </cell>
        </row>
        <row r="10">
          <cell r="A10" t="str">
            <v>1992</v>
          </cell>
          <cell r="E10">
            <v>373.7</v>
          </cell>
          <cell r="G10">
            <v>394.1</v>
          </cell>
          <cell r="I10">
            <v>2.1</v>
          </cell>
          <cell r="K10">
            <v>769.8</v>
          </cell>
          <cell r="M10">
            <v>629.29999999999995</v>
          </cell>
          <cell r="O10">
            <v>1399.1</v>
          </cell>
        </row>
        <row r="11">
          <cell r="A11" t="str">
            <v>1993</v>
          </cell>
          <cell r="E11">
            <v>398</v>
          </cell>
          <cell r="G11">
            <v>392.4</v>
          </cell>
          <cell r="I11">
            <v>5.8</v>
          </cell>
          <cell r="J11" t="str">
            <v/>
          </cell>
          <cell r="K11">
            <v>796.2</v>
          </cell>
          <cell r="L11" t="str">
            <v/>
          </cell>
          <cell r="M11">
            <v>539.4</v>
          </cell>
          <cell r="N11" t="str">
            <v/>
          </cell>
          <cell r="O11">
            <v>1335.6</v>
          </cell>
        </row>
        <row r="12">
          <cell r="A12" t="str">
            <v>1994</v>
          </cell>
          <cell r="E12">
            <v>453.1</v>
          </cell>
          <cell r="G12">
            <v>439.3</v>
          </cell>
          <cell r="I12">
            <v>4</v>
          </cell>
          <cell r="J12" t="str">
            <v/>
          </cell>
          <cell r="K12">
            <v>896.5</v>
          </cell>
          <cell r="L12" t="str">
            <v/>
          </cell>
          <cell r="M12">
            <v>701.6</v>
          </cell>
          <cell r="N12" t="str">
            <v/>
          </cell>
          <cell r="O12">
            <v>1598.1</v>
          </cell>
        </row>
        <row r="13">
          <cell r="A13" t="str">
            <v>1995</v>
          </cell>
          <cell r="E13">
            <v>486</v>
          </cell>
          <cell r="F13" t="str">
            <v xml:space="preserve"> </v>
          </cell>
          <cell r="G13">
            <v>461.2</v>
          </cell>
          <cell r="H13" t="str">
            <v xml:space="preserve"> </v>
          </cell>
          <cell r="I13">
            <v>3</v>
          </cell>
          <cell r="J13" t="str">
            <v xml:space="preserve"> </v>
          </cell>
          <cell r="K13">
            <v>950.2</v>
          </cell>
          <cell r="L13" t="str">
            <v xml:space="preserve"> </v>
          </cell>
          <cell r="M13">
            <v>677.4</v>
          </cell>
          <cell r="N13" t="str">
            <v xml:space="preserve"> </v>
          </cell>
          <cell r="O13">
            <v>1627.6</v>
          </cell>
        </row>
        <row r="14">
          <cell r="A14">
            <v>1996</v>
          </cell>
          <cell r="E14">
            <v>531.08299999999997</v>
          </cell>
          <cell r="G14">
            <v>484.42899999999997</v>
          </cell>
          <cell r="I14">
            <v>2.2130000000000001</v>
          </cell>
          <cell r="J14" t="str">
            <v xml:space="preserve"> </v>
          </cell>
          <cell r="K14">
            <v>1017.725</v>
          </cell>
          <cell r="M14">
            <v>626.40899999999999</v>
          </cell>
          <cell r="N14" t="str">
            <v xml:space="preserve"> </v>
          </cell>
          <cell r="O14">
            <v>1644.134</v>
          </cell>
        </row>
        <row r="15">
          <cell r="A15" t="str">
            <v xml:space="preserve">1997 </v>
          </cell>
          <cell r="E15">
            <v>543.20000000000005</v>
          </cell>
          <cell r="G15">
            <v>597.6</v>
          </cell>
          <cell r="I15">
            <v>5.7</v>
          </cell>
          <cell r="K15">
            <v>1146.4000000000001</v>
          </cell>
          <cell r="M15">
            <v>740</v>
          </cell>
          <cell r="O15">
            <v>1886.4</v>
          </cell>
        </row>
        <row r="16">
          <cell r="A16" t="str">
            <v xml:space="preserve">1998 </v>
          </cell>
          <cell r="E16">
            <v>544.29999999999995</v>
          </cell>
          <cell r="G16">
            <v>725.7</v>
          </cell>
          <cell r="I16">
            <v>4.5</v>
          </cell>
          <cell r="K16">
            <v>1274.5</v>
          </cell>
          <cell r="M16">
            <v>737.5</v>
          </cell>
          <cell r="O16">
            <v>2012.3</v>
          </cell>
        </row>
        <row r="17">
          <cell r="A17" t="str">
            <v>1999</v>
          </cell>
          <cell r="E17">
            <v>562.70000000000005</v>
          </cell>
          <cell r="G17">
            <v>884.6</v>
          </cell>
          <cell r="I17">
            <v>6.3</v>
          </cell>
          <cell r="K17">
            <v>1453.7</v>
          </cell>
          <cell r="M17">
            <v>737.8</v>
          </cell>
          <cell r="O17">
            <v>2191.4</v>
          </cell>
        </row>
        <row r="18">
          <cell r="A18" t="str">
            <v xml:space="preserve">2000  </v>
          </cell>
          <cell r="E18">
            <v>544.79999999999995</v>
          </cell>
          <cell r="G18">
            <v>1042.9000000000001</v>
          </cell>
          <cell r="I18">
            <v>17.7</v>
          </cell>
          <cell r="K18">
            <v>1605.4</v>
          </cell>
          <cell r="M18">
            <v>712.9</v>
          </cell>
          <cell r="O18">
            <v>2318.3000000000002</v>
          </cell>
        </row>
        <row r="19">
          <cell r="A19" t="str">
            <v>2001</v>
          </cell>
          <cell r="E19">
            <v>517.57000000000005</v>
          </cell>
          <cell r="G19">
            <v>1173.873</v>
          </cell>
          <cell r="I19">
            <v>20.495999999999999</v>
          </cell>
          <cell r="K19">
            <v>1711.9390000000001</v>
          </cell>
          <cell r="M19">
            <v>686.37400000000002</v>
          </cell>
          <cell r="O19">
            <v>2398.3130000000001</v>
          </cell>
        </row>
        <row r="20">
          <cell r="A20" t="str">
            <v>2002</v>
          </cell>
          <cell r="E20">
            <v>493.33800000000002</v>
          </cell>
          <cell r="G20">
            <v>1290.115</v>
          </cell>
          <cell r="I20">
            <v>18.069000000000003</v>
          </cell>
          <cell r="K20">
            <v>1801.5219999999999</v>
          </cell>
          <cell r="M20">
            <v>725.976</v>
          </cell>
          <cell r="O20">
            <v>2527.498</v>
          </cell>
        </row>
        <row r="21">
          <cell r="A21" t="str">
            <v>2003</v>
          </cell>
          <cell r="E21">
            <v>473.92600000000004</v>
          </cell>
          <cell r="G21">
            <v>1321.6379999999999</v>
          </cell>
          <cell r="I21">
            <v>19.129000000000001</v>
          </cell>
          <cell r="K21">
            <v>1814.69</v>
          </cell>
          <cell r="M21">
            <v>780.423</v>
          </cell>
          <cell r="O21">
            <v>2595.1130000000003</v>
          </cell>
        </row>
        <row r="22">
          <cell r="A22" t="str">
            <v>2004</v>
          </cell>
          <cell r="E22">
            <v>493.09900000000005</v>
          </cell>
          <cell r="G22">
            <v>1446.7440000000001</v>
          </cell>
          <cell r="I22">
            <v>16.983000000000001</v>
          </cell>
          <cell r="K22">
            <v>1956.826</v>
          </cell>
          <cell r="M22">
            <v>782.16700000000003</v>
          </cell>
          <cell r="O22">
            <v>2738.9929999999999</v>
          </cell>
        </row>
        <row r="24">
          <cell r="A24" t="str">
            <v>Four Quarters Ending</v>
          </cell>
        </row>
        <row r="25">
          <cell r="A25" t="str">
            <v>2005 Q2P</v>
          </cell>
          <cell r="E25">
            <v>508.60399999999998</v>
          </cell>
          <cell r="G25">
            <v>1484.979</v>
          </cell>
          <cell r="I25">
            <v>23.750999999999998</v>
          </cell>
          <cell r="K25">
            <v>2017.3340000000003</v>
          </cell>
          <cell r="M25">
            <v>768.22</v>
          </cell>
          <cell r="O25">
            <v>2785.5540000000001</v>
          </cell>
        </row>
        <row r="27">
          <cell r="A27" t="str">
            <v>Quarters</v>
          </cell>
        </row>
        <row r="28">
          <cell r="A28" t="str">
            <v>2003 Q2</v>
          </cell>
          <cell r="E28">
            <v>118.836</v>
          </cell>
          <cell r="G28">
            <v>332.07100000000003</v>
          </cell>
          <cell r="I28">
            <v>5.0519999999999996</v>
          </cell>
          <cell r="K28">
            <v>455.959</v>
          </cell>
          <cell r="M28">
            <v>200.72900000000001</v>
          </cell>
          <cell r="O28">
            <v>656.68799999999999</v>
          </cell>
        </row>
        <row r="29">
          <cell r="A29" t="str">
            <v xml:space="preserve">         Q3</v>
          </cell>
          <cell r="E29">
            <v>118.346</v>
          </cell>
          <cell r="G29">
            <v>321.35899999999998</v>
          </cell>
          <cell r="I29">
            <v>4.5460000000000003</v>
          </cell>
          <cell r="K29">
            <v>444.25099999999998</v>
          </cell>
          <cell r="M29">
            <v>200.73400000000001</v>
          </cell>
          <cell r="O29">
            <v>644.98500000000001</v>
          </cell>
        </row>
        <row r="30">
          <cell r="A30" t="str">
            <v xml:space="preserve">         Q4</v>
          </cell>
          <cell r="E30">
            <v>114.9</v>
          </cell>
          <cell r="G30">
            <v>338.57600000000002</v>
          </cell>
          <cell r="I30">
            <v>4.835</v>
          </cell>
          <cell r="K30">
            <v>458.30799999999999</v>
          </cell>
          <cell r="M30">
            <v>193.77099999999999</v>
          </cell>
          <cell r="O30">
            <v>652.07899999999995</v>
          </cell>
        </row>
        <row r="31">
          <cell r="A31" t="str">
            <v>2004 Q1</v>
          </cell>
          <cell r="E31">
            <v>118.19499999999999</v>
          </cell>
          <cell r="G31">
            <v>340.90100000000001</v>
          </cell>
          <cell r="I31">
            <v>4.5209999999999999</v>
          </cell>
          <cell r="K31">
            <v>463.61700000000002</v>
          </cell>
          <cell r="M31">
            <v>186.762</v>
          </cell>
          <cell r="O31">
            <v>650.37900000000002</v>
          </cell>
        </row>
        <row r="32">
          <cell r="A32" t="str">
            <v xml:space="preserve">         Q2</v>
          </cell>
          <cell r="E32">
            <v>121.959</v>
          </cell>
          <cell r="G32">
            <v>353.03300000000002</v>
          </cell>
          <cell r="I32">
            <v>4.5209999999999999</v>
          </cell>
          <cell r="K32">
            <v>479.51299999999998</v>
          </cell>
          <cell r="M32">
            <v>199.56</v>
          </cell>
          <cell r="O32">
            <v>679.07299999999998</v>
          </cell>
        </row>
        <row r="33">
          <cell r="A33" t="str">
            <v xml:space="preserve">         Q3</v>
          </cell>
          <cell r="E33">
            <v>121.989</v>
          </cell>
          <cell r="G33">
            <v>362.73599999999999</v>
          </cell>
          <cell r="I33">
            <v>4.4050000000000002</v>
          </cell>
          <cell r="K33">
            <v>489.13</v>
          </cell>
          <cell r="M33">
            <v>197.96600000000001</v>
          </cell>
          <cell r="O33">
            <v>687.096</v>
          </cell>
        </row>
        <row r="34">
          <cell r="A34" t="str">
            <v xml:space="preserve">         Q4</v>
          </cell>
          <cell r="E34">
            <v>130.95599999999999</v>
          </cell>
          <cell r="G34">
            <v>390.07400000000001</v>
          </cell>
          <cell r="I34">
            <v>3.536</v>
          </cell>
          <cell r="K34">
            <v>524.56600000000003</v>
          </cell>
          <cell r="M34">
            <v>197.87899999999999</v>
          </cell>
          <cell r="O34">
            <v>722.44500000000005</v>
          </cell>
        </row>
        <row r="35">
          <cell r="A35" t="str">
            <v>2005 Q1</v>
          </cell>
          <cell r="E35">
            <v>124.902</v>
          </cell>
          <cell r="G35">
            <v>355.11900000000003</v>
          </cell>
          <cell r="I35">
            <v>8.0559999999999992</v>
          </cell>
          <cell r="K35">
            <v>488.077</v>
          </cell>
          <cell r="M35">
            <v>183.55199999999999</v>
          </cell>
          <cell r="O35">
            <v>671.62900000000002</v>
          </cell>
        </row>
        <row r="36">
          <cell r="A36" t="str">
            <v xml:space="preserve">         Q2P</v>
          </cell>
          <cell r="E36">
            <v>130.75700000000001</v>
          </cell>
          <cell r="G36">
            <v>377.05</v>
          </cell>
          <cell r="I36">
            <v>7.7539999999999996</v>
          </cell>
          <cell r="K36">
            <v>515.56100000000004</v>
          </cell>
          <cell r="M36">
            <v>188.82300000000001</v>
          </cell>
          <cell r="O36">
            <v>704.38400000000001</v>
          </cell>
        </row>
        <row r="37">
          <cell r="A37" t="str">
            <v>Percentage change on 1 year earlier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>
        <row r="6">
          <cell r="B6">
            <v>577.40200000000004</v>
          </cell>
          <cell r="D6">
            <v>582.44799999999998</v>
          </cell>
          <cell r="F6">
            <v>147.71100000000001</v>
          </cell>
        </row>
        <row r="7">
          <cell r="B7">
            <v>589.79999999999995</v>
          </cell>
          <cell r="D7">
            <v>589.5</v>
          </cell>
          <cell r="F7">
            <v>147.30000000000001</v>
          </cell>
        </row>
        <row r="8">
          <cell r="B8">
            <v>596.79999999999995</v>
          </cell>
          <cell r="D8">
            <v>630.9</v>
          </cell>
          <cell r="F8">
            <v>171.5</v>
          </cell>
        </row>
        <row r="9">
          <cell r="B9">
            <v>552.9</v>
          </cell>
          <cell r="D9">
            <v>662.8</v>
          </cell>
          <cell r="F9">
            <v>173.9</v>
          </cell>
        </row>
        <row r="10">
          <cell r="B10">
            <v>620.29999999999995</v>
          </cell>
          <cell r="D10">
            <v>751.1</v>
          </cell>
          <cell r="F10">
            <v>226.7</v>
          </cell>
        </row>
        <row r="11">
          <cell r="B11">
            <v>611.20000000000005</v>
          </cell>
          <cell r="D11">
            <v>816.4</v>
          </cell>
          <cell r="F11">
            <v>200</v>
          </cell>
        </row>
        <row r="12">
          <cell r="B12">
            <v>581.86400000000003</v>
          </cell>
          <cell r="D12">
            <v>873.72799999999995</v>
          </cell>
          <cell r="F12">
            <v>188.54199999999997</v>
          </cell>
        </row>
      </sheetData>
      <sheetData sheetId="9" refreshError="1"/>
      <sheetData sheetId="10" refreshError="1"/>
      <sheetData sheetId="11">
        <row r="6">
          <cell r="B6">
            <v>205.35400000000001</v>
          </cell>
          <cell r="D6">
            <v>97.811999999999998</v>
          </cell>
          <cell r="F6">
            <v>32.856999999999999</v>
          </cell>
          <cell r="J6">
            <v>1.86</v>
          </cell>
        </row>
        <row r="7">
          <cell r="B7">
            <v>228.5</v>
          </cell>
          <cell r="D7">
            <v>96.4</v>
          </cell>
          <cell r="F7">
            <v>33.200000000000003</v>
          </cell>
          <cell r="J7">
            <v>1.4</v>
          </cell>
        </row>
        <row r="8">
          <cell r="B8">
            <v>241</v>
          </cell>
          <cell r="D8">
            <v>96.6</v>
          </cell>
          <cell r="F8">
            <v>34</v>
          </cell>
          <cell r="J8">
            <v>1.5</v>
          </cell>
        </row>
        <row r="9">
          <cell r="B9">
            <v>271.3</v>
          </cell>
          <cell r="D9">
            <v>86.2</v>
          </cell>
          <cell r="F9">
            <v>38.799999999999997</v>
          </cell>
          <cell r="J9">
            <v>1.2</v>
          </cell>
        </row>
        <row r="10">
          <cell r="B10">
            <v>332.9</v>
          </cell>
          <cell r="D10">
            <v>77.2</v>
          </cell>
          <cell r="F10">
            <v>39.299999999999997</v>
          </cell>
          <cell r="J10">
            <v>3.5</v>
          </cell>
        </row>
        <row r="11">
          <cell r="B11">
            <v>368</v>
          </cell>
          <cell r="D11">
            <v>73.5</v>
          </cell>
          <cell r="F11">
            <v>41.7</v>
          </cell>
          <cell r="J11">
            <v>2.5</v>
          </cell>
        </row>
        <row r="12">
          <cell r="B12">
            <v>401.9</v>
          </cell>
          <cell r="D12">
            <v>80.2</v>
          </cell>
          <cell r="F12">
            <v>45.9</v>
          </cell>
          <cell r="J12">
            <v>2.8</v>
          </cell>
        </row>
      </sheetData>
      <sheetData sheetId="12" refreshError="1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U Allocations"/>
      <sheetName val="FU etas"/>
      <sheetName val="FU Allocations (2017)"/>
      <sheetName val="Allocations+"/>
      <sheetName val="etas+"/>
      <sheetName val="EL - Light"/>
      <sheetName val="ISDE - MD"/>
      <sheetName val="ESP - 2.a-LTH-MTH1"/>
      <sheetName val="ESP - 2.b-MTH2-HTH"/>
      <sheetName val="ESP - 3. Mecanical drive"/>
      <sheetName val="GHUsefulWorkEfficienciesMatrix"/>
      <sheetName val="PB Efficiencies"/>
      <sheetName val="phi_heat"/>
      <sheetName val="Stove efficiencies"/>
      <sheetName val="Fan efficiencies"/>
      <sheetName val="Electric lighting efficiencies"/>
      <sheetName val="TV lighting efficiencies"/>
      <sheetName val="Domestic refrigeration"/>
      <sheetName val="Domestic electricity allocation"/>
      <sheetName val="Non-spec. ind. elec. alloc."/>
      <sheetName val="FixedGHIndustryElectricity"/>
      <sheetName val="GHPrimary"/>
      <sheetName val="Summary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23">
          <cell r="B23">
            <v>0.70333299999999999</v>
          </cell>
        </row>
      </sheetData>
      <sheetData sheetId="12">
        <row r="6">
          <cell r="C6">
            <v>0.13300399011970354</v>
          </cell>
        </row>
        <row r="8">
          <cell r="C8">
            <v>0.20099155835454907</v>
          </cell>
        </row>
        <row r="9">
          <cell r="C9">
            <v>0.36986156609954557</v>
          </cell>
        </row>
        <row r="10">
          <cell r="C10">
            <v>0.65853518868464755</v>
          </cell>
        </row>
        <row r="15">
          <cell r="C15">
            <v>1.04</v>
          </cell>
        </row>
        <row r="16">
          <cell r="C16">
            <v>1.07</v>
          </cell>
        </row>
        <row r="17">
          <cell r="C17">
            <v>1.1499999999999999</v>
          </cell>
        </row>
        <row r="19">
          <cell r="C19">
            <v>1</v>
          </cell>
        </row>
        <row r="26">
          <cell r="C26">
            <v>1</v>
          </cell>
        </row>
        <row r="27">
          <cell r="C27">
            <v>1</v>
          </cell>
        </row>
        <row r="28">
          <cell r="C28">
            <v>1</v>
          </cell>
        </row>
        <row r="29">
          <cell r="C29">
            <v>1</v>
          </cell>
        </row>
      </sheetData>
      <sheetData sheetId="13">
        <row r="5">
          <cell r="B5">
            <v>0.14000000000000001</v>
          </cell>
        </row>
      </sheetData>
      <sheetData sheetId="14"/>
      <sheetData sheetId="15"/>
      <sheetData sheetId="16"/>
      <sheetData sheetId="17">
        <row r="10">
          <cell r="B10">
            <v>25</v>
          </cell>
        </row>
        <row r="11">
          <cell r="B11">
            <v>-10</v>
          </cell>
        </row>
        <row r="12">
          <cell r="B12">
            <v>7.5185714285714278</v>
          </cell>
        </row>
      </sheetData>
      <sheetData sheetId="18"/>
      <sheetData sheetId="19"/>
      <sheetData sheetId="20"/>
      <sheetData sheetId="21"/>
      <sheetData sheetId="22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ME"/>
      <sheetName val="FIN_ETA"/>
      <sheetName val="Calcs"/>
      <sheetName val="Boafo-Mensah_2013"/>
      <sheetName val="Hyman_1986"/>
      <sheetName val="Zhang_2013"/>
      <sheetName val="Coffey_2017"/>
      <sheetName val="Adeyemi_2017"/>
      <sheetName val="Afrane_2012"/>
      <sheetName val="Edwards_2004"/>
      <sheetName val="FAO_2017"/>
      <sheetName val="CleanCookingCatalog_2021"/>
      <sheetName val="Barnes_1996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6">
          <cell r="B6">
            <v>0.18</v>
          </cell>
        </row>
      </sheetData>
      <sheetData sheetId="9" refreshError="1"/>
      <sheetData sheetId="10"/>
      <sheetData sheetId="11"/>
      <sheetData sheetId="12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Year"/>
      <sheetName val="Admin"/>
      <sheetName val="t11"/>
      <sheetName val="c11"/>
      <sheetName val="t12"/>
      <sheetName val="c12"/>
      <sheetName val="c12Pies"/>
      <sheetName val="t13_09-08"/>
      <sheetName val="t13_09 (probs)"/>
      <sheetName val="t13_09"/>
      <sheetName val="t13_08"/>
      <sheetName val="t13_07"/>
      <sheetName val="t13_06"/>
      <sheetName val="t14_time series"/>
      <sheetName val="c14Pies"/>
      <sheetName val="t42 final"/>
      <sheetName val="revised Urban_Rural data"/>
      <sheetName val="t14_01"/>
      <sheetName val="t14_00"/>
      <sheetName val="t14_99"/>
      <sheetName val="t14_98"/>
      <sheetName val="t14_97"/>
      <sheetName val="t14_96"/>
      <sheetName val="t14_95"/>
      <sheetName val="t14_94"/>
      <sheetName val="t14_93"/>
      <sheetName val="t14_09-08"/>
      <sheetName val="t14_09"/>
      <sheetName val="t14_08"/>
      <sheetName val="t14_07"/>
      <sheetName val="t14_06"/>
      <sheetName val="t14_05"/>
      <sheetName val="t14_04"/>
      <sheetName val="t14_03"/>
      <sheetName val="t14_02"/>
      <sheetName val="t13_05"/>
      <sheetName val="t13_04"/>
      <sheetName val="t13_03"/>
      <sheetName val="t13_09_(probs)20"/>
      <sheetName val="t14_time_series20"/>
      <sheetName val="t42_final20"/>
      <sheetName val="revised_Urban_Rural_data20"/>
      <sheetName val="t13_09_(probs)2"/>
      <sheetName val="t14_time_series2"/>
      <sheetName val="t42_final2"/>
      <sheetName val="revised_Urban_Rural_data2"/>
      <sheetName val="t13_09_(probs)"/>
      <sheetName val="t14_time_series"/>
      <sheetName val="t42_final"/>
      <sheetName val="revised_Urban_Rural_data"/>
      <sheetName val="t13_09_(probs)1"/>
      <sheetName val="t14_time_series1"/>
      <sheetName val="t42_final1"/>
      <sheetName val="revised_Urban_Rural_data1"/>
      <sheetName val="t13_09_(probs)8"/>
      <sheetName val="t14_time_series8"/>
      <sheetName val="t42_final8"/>
      <sheetName val="revised_Urban_Rural_data8"/>
      <sheetName val="t13_09_(probs)3"/>
      <sheetName val="t14_time_series3"/>
      <sheetName val="t42_final3"/>
      <sheetName val="revised_Urban_Rural_data3"/>
      <sheetName val="t13_09_(probs)4"/>
      <sheetName val="t14_time_series4"/>
      <sheetName val="t42_final4"/>
      <sheetName val="revised_Urban_Rural_data4"/>
      <sheetName val="t13_09_(probs)5"/>
      <sheetName val="t14_time_series5"/>
      <sheetName val="t42_final5"/>
      <sheetName val="revised_Urban_Rural_data5"/>
      <sheetName val="t13_09_(probs)6"/>
      <sheetName val="t14_time_series6"/>
      <sheetName val="t42_final6"/>
      <sheetName val="revised_Urban_Rural_data6"/>
      <sheetName val="t13_09_(probs)7"/>
      <sheetName val="t14_time_series7"/>
      <sheetName val="t42_final7"/>
      <sheetName val="revised_Urban_Rural_data7"/>
      <sheetName val="t13_09_(probs)10"/>
      <sheetName val="t14_time_series10"/>
      <sheetName val="t42_final10"/>
      <sheetName val="revised_Urban_Rural_data10"/>
      <sheetName val="t13_09_(probs)9"/>
      <sheetName val="t14_time_series9"/>
      <sheetName val="t42_final9"/>
      <sheetName val="revised_Urban_Rural_data9"/>
      <sheetName val="t13_09_(probs)11"/>
      <sheetName val="t14_time_series11"/>
      <sheetName val="t42_final11"/>
      <sheetName val="revised_Urban_Rural_data11"/>
      <sheetName val="t13_09_(probs)12"/>
      <sheetName val="t14_time_series12"/>
      <sheetName val="t42_final12"/>
      <sheetName val="revised_Urban_Rural_data12"/>
      <sheetName val="t13_09_(probs)13"/>
      <sheetName val="t14_time_series13"/>
      <sheetName val="t42_final13"/>
      <sheetName val="revised_Urban_Rural_data13"/>
      <sheetName val="t13_09_(probs)14"/>
      <sheetName val="t14_time_series14"/>
      <sheetName val="t42_final14"/>
      <sheetName val="revised_Urban_Rural_data14"/>
      <sheetName val="t13_09_(probs)15"/>
      <sheetName val="t14_time_series15"/>
      <sheetName val="t42_final15"/>
      <sheetName val="revised_Urban_Rural_data15"/>
      <sheetName val="t13_09_(probs)16"/>
      <sheetName val="t14_time_series16"/>
      <sheetName val="t42_final16"/>
      <sheetName val="revised_Urban_Rural_data16"/>
      <sheetName val="t13_09_(probs)17"/>
      <sheetName val="t14_time_series17"/>
      <sheetName val="t42_final17"/>
      <sheetName val="revised_Urban_Rural_data17"/>
      <sheetName val="t13_09_(probs)19"/>
      <sheetName val="t14_time_series19"/>
      <sheetName val="t42_final19"/>
      <sheetName val="revised_Urban_Rural_data19"/>
      <sheetName val="t13_09_(probs)18"/>
      <sheetName val="t14_time_series18"/>
      <sheetName val="t42_final18"/>
      <sheetName val="revised_Urban_Rural_data18"/>
      <sheetName val="t13_09_(probs)21"/>
      <sheetName val="t14_time_series21"/>
      <sheetName val="t42_final21"/>
      <sheetName val="revised_Urban_Rural_data21"/>
    </sheetNames>
    <sheetDataSet>
      <sheetData sheetId="0">
        <row r="3">
          <cell r="B3">
            <v>2008</v>
          </cell>
        </row>
      </sheetData>
      <sheetData sheetId="1"/>
      <sheetData sheetId="2"/>
      <sheetData sheetId="3">
        <row r="42">
          <cell r="D42" t="str">
            <v>2007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IS-INDEX"/>
    </sheetNames>
    <sheetDataSet>
      <sheetData sheetId="0" refreshError="1">
        <row r="9">
          <cell r="E9">
            <v>1983</v>
          </cell>
          <cell r="F9">
            <v>1984</v>
          </cell>
          <cell r="G9">
            <v>1985</v>
          </cell>
          <cell r="H9">
            <v>1986</v>
          </cell>
          <cell r="I9">
            <v>1987</v>
          </cell>
          <cell r="J9">
            <v>1988</v>
          </cell>
          <cell r="K9">
            <v>1989</v>
          </cell>
          <cell r="L9">
            <v>1990</v>
          </cell>
          <cell r="M9">
            <v>1991</v>
          </cell>
          <cell r="N9">
            <v>1992</v>
          </cell>
          <cell r="O9">
            <v>1993</v>
          </cell>
          <cell r="P9">
            <v>1994</v>
          </cell>
          <cell r="Q9">
            <v>1995</v>
          </cell>
          <cell r="R9">
            <v>1996</v>
          </cell>
        </row>
        <row r="13">
          <cell r="B13" t="str">
            <v>Road 1</v>
          </cell>
          <cell r="E13">
            <v>4.2</v>
          </cell>
          <cell r="F13">
            <v>4</v>
          </cell>
          <cell r="G13">
            <v>4.3</v>
          </cell>
          <cell r="H13">
            <v>3.7</v>
          </cell>
          <cell r="I13">
            <v>4.0999999999999996</v>
          </cell>
          <cell r="J13">
            <v>4.9000000000000004</v>
          </cell>
          <cell r="K13">
            <v>4.5</v>
          </cell>
          <cell r="L13">
            <v>4.9000000000000004</v>
          </cell>
          <cell r="M13">
            <v>4.9000000000000004</v>
          </cell>
          <cell r="N13">
            <v>4.5</v>
          </cell>
          <cell r="O13">
            <v>5</v>
          </cell>
          <cell r="P13">
            <v>5.0999999999999996</v>
          </cell>
          <cell r="Q13">
            <v>5.7</v>
          </cell>
        </row>
        <row r="14">
          <cell r="B14" t="str">
            <v xml:space="preserve">Rail </v>
          </cell>
          <cell r="E14">
            <v>2.2999999999999998</v>
          </cell>
          <cell r="F14">
            <v>2.2000000000000002</v>
          </cell>
          <cell r="G14">
            <v>2</v>
          </cell>
          <cell r="H14">
            <v>2.1</v>
          </cell>
          <cell r="I14">
            <v>2</v>
          </cell>
          <cell r="J14">
            <v>2.2000000000000002</v>
          </cell>
          <cell r="K14">
            <v>2.2000000000000002</v>
          </cell>
          <cell r="L14">
            <v>2.1</v>
          </cell>
          <cell r="M14">
            <v>2</v>
          </cell>
          <cell r="N14">
            <v>2</v>
          </cell>
          <cell r="O14">
            <v>1.91</v>
          </cell>
          <cell r="P14">
            <v>1.8220000000000001</v>
          </cell>
          <cell r="Q14">
            <v>1.7</v>
          </cell>
        </row>
        <row r="15">
          <cell r="B15" t="str">
            <v xml:space="preserve">Water </v>
          </cell>
          <cell r="E15">
            <v>51.4</v>
          </cell>
          <cell r="F15">
            <v>53.1</v>
          </cell>
          <cell r="G15">
            <v>50.9</v>
          </cell>
          <cell r="H15">
            <v>46</v>
          </cell>
          <cell r="I15">
            <v>43.9</v>
          </cell>
          <cell r="J15">
            <v>49.3</v>
          </cell>
          <cell r="K15">
            <v>47.9</v>
          </cell>
          <cell r="L15">
            <v>45.4</v>
          </cell>
          <cell r="M15">
            <v>46</v>
          </cell>
          <cell r="N15">
            <v>42.7</v>
          </cell>
          <cell r="O15">
            <v>41.7</v>
          </cell>
          <cell r="P15">
            <v>43</v>
          </cell>
          <cell r="Q15">
            <v>42.5</v>
          </cell>
        </row>
        <row r="16">
          <cell r="B16" t="str">
            <v>ow:  coastwise</v>
          </cell>
          <cell r="E16">
            <v>40.200000000000003</v>
          </cell>
          <cell r="F16">
            <v>41</v>
          </cell>
          <cell r="G16">
            <v>38.9</v>
          </cell>
          <cell r="H16">
            <v>33.9</v>
          </cell>
          <cell r="I16">
            <v>31.4</v>
          </cell>
          <cell r="J16">
            <v>34.200000000000003</v>
          </cell>
          <cell r="K16">
            <v>34.1</v>
          </cell>
          <cell r="L16">
            <v>32.1</v>
          </cell>
          <cell r="M16">
            <v>31.2</v>
          </cell>
          <cell r="N16">
            <v>29.4</v>
          </cell>
          <cell r="O16">
            <v>28.9</v>
          </cell>
          <cell r="P16">
            <v>28.9</v>
          </cell>
          <cell r="Q16">
            <v>31.4</v>
          </cell>
        </row>
        <row r="17">
          <cell r="B17" t="str">
            <v xml:space="preserve">Pipeline </v>
          </cell>
          <cell r="H17">
            <v>10.4</v>
          </cell>
          <cell r="I17">
            <v>10.5</v>
          </cell>
          <cell r="J17">
            <v>11.1</v>
          </cell>
          <cell r="K17">
            <v>9.8000000000000007</v>
          </cell>
          <cell r="L17">
            <v>11.1</v>
          </cell>
          <cell r="M17">
            <v>11.1</v>
          </cell>
          <cell r="N17">
            <v>11</v>
          </cell>
          <cell r="O17">
            <v>11.6</v>
          </cell>
          <cell r="P17">
            <v>12</v>
          </cell>
          <cell r="Q17">
            <v>12.2</v>
          </cell>
        </row>
        <row r="18">
          <cell r="B18" t="str">
            <v>Pipeline</v>
          </cell>
          <cell r="E18">
            <v>9.9</v>
          </cell>
          <cell r="F18">
            <v>10.4</v>
          </cell>
          <cell r="G18">
            <v>11.2</v>
          </cell>
          <cell r="H18">
            <v>10.4</v>
          </cell>
          <cell r="I18">
            <v>10.5</v>
          </cell>
          <cell r="J18">
            <v>11.1</v>
          </cell>
          <cell r="K18">
            <v>9.8000000000000007</v>
          </cell>
          <cell r="L18">
            <v>11</v>
          </cell>
          <cell r="M18">
            <v>11.1</v>
          </cell>
          <cell r="N18">
            <v>11</v>
          </cell>
          <cell r="O18">
            <v>11.6</v>
          </cell>
          <cell r="P18">
            <v>12</v>
          </cell>
          <cell r="Q18">
            <v>12.2</v>
          </cell>
        </row>
        <row r="19">
          <cell r="B19" t="str">
            <v>All modes</v>
          </cell>
          <cell r="E19">
            <v>67.8</v>
          </cell>
          <cell r="F19">
            <v>69.7</v>
          </cell>
          <cell r="G19">
            <v>68.400000000000006</v>
          </cell>
          <cell r="H19">
            <v>62.2</v>
          </cell>
          <cell r="I19">
            <v>60.5</v>
          </cell>
          <cell r="J19">
            <v>67.5</v>
          </cell>
          <cell r="K19">
            <v>64.400000000000006</v>
          </cell>
          <cell r="L19">
            <v>63.5</v>
          </cell>
          <cell r="M19">
            <v>64</v>
          </cell>
          <cell r="N19">
            <v>60.2</v>
          </cell>
          <cell r="O19">
            <v>60.21</v>
          </cell>
          <cell r="P19">
            <v>61.921999999999997</v>
          </cell>
          <cell r="Q19">
            <v>62.099999999999994</v>
          </cell>
        </row>
        <row r="22">
          <cell r="B22" t="str">
            <v>Road 1</v>
          </cell>
          <cell r="E22">
            <v>3.2</v>
          </cell>
          <cell r="F22">
            <v>3.3</v>
          </cell>
          <cell r="G22">
            <v>4.2</v>
          </cell>
          <cell r="H22">
            <v>3.7</v>
          </cell>
          <cell r="I22">
            <v>3.7</v>
          </cell>
          <cell r="J22">
            <v>3.9</v>
          </cell>
          <cell r="K22">
            <v>4</v>
          </cell>
          <cell r="L22">
            <v>4.2</v>
          </cell>
          <cell r="M22">
            <v>3.7</v>
          </cell>
          <cell r="N22">
            <v>3.5</v>
          </cell>
          <cell r="O22">
            <v>3.1</v>
          </cell>
          <cell r="P22">
            <v>2.9</v>
          </cell>
          <cell r="Q22">
            <v>2.7</v>
          </cell>
        </row>
        <row r="23">
          <cell r="B23" t="str">
            <v xml:space="preserve">Rail </v>
          </cell>
          <cell r="E23">
            <v>5.9</v>
          </cell>
          <cell r="F23">
            <v>1.6</v>
          </cell>
          <cell r="G23">
            <v>4.0999999999999996</v>
          </cell>
          <cell r="H23">
            <v>5.0999999999999996</v>
          </cell>
          <cell r="I23">
            <v>4.7</v>
          </cell>
          <cell r="J23">
            <v>4.5999999999999996</v>
          </cell>
          <cell r="K23">
            <v>4.8</v>
          </cell>
          <cell r="L23">
            <v>5</v>
          </cell>
          <cell r="M23">
            <v>5</v>
          </cell>
          <cell r="N23">
            <v>5.4</v>
          </cell>
          <cell r="O23">
            <v>3.9449999999999998</v>
          </cell>
          <cell r="P23">
            <v>3.2719999999999998</v>
          </cell>
          <cell r="Q23">
            <v>3.1</v>
          </cell>
        </row>
        <row r="24">
          <cell r="B24" t="str">
            <v xml:space="preserve">Water </v>
          </cell>
          <cell r="E24">
            <v>3.8</v>
          </cell>
          <cell r="F24">
            <v>1.1000000000000001</v>
          </cell>
          <cell r="G24">
            <v>3.1</v>
          </cell>
          <cell r="H24">
            <v>3.7</v>
          </cell>
          <cell r="I24">
            <v>2.9</v>
          </cell>
          <cell r="J24">
            <v>2.9</v>
          </cell>
          <cell r="K24">
            <v>2.6</v>
          </cell>
          <cell r="L24">
            <v>1.4</v>
          </cell>
          <cell r="M24">
            <v>1.8</v>
          </cell>
          <cell r="N24">
            <v>1.8</v>
          </cell>
          <cell r="O24">
            <v>1.5</v>
          </cell>
          <cell r="P24">
            <v>1.4</v>
          </cell>
          <cell r="Q24">
            <v>1.8</v>
          </cell>
        </row>
        <row r="25">
          <cell r="B25" t="str">
            <v>All modes</v>
          </cell>
          <cell r="E25">
            <v>12.900000000000002</v>
          </cell>
          <cell r="F25">
            <v>6</v>
          </cell>
          <cell r="G25">
            <v>11.4</v>
          </cell>
          <cell r="H25">
            <v>12.5</v>
          </cell>
          <cell r="I25">
            <v>11.3</v>
          </cell>
          <cell r="J25">
            <v>11.4</v>
          </cell>
          <cell r="K25">
            <v>11.4</v>
          </cell>
          <cell r="L25">
            <v>10.6</v>
          </cell>
          <cell r="M25">
            <v>10.5</v>
          </cell>
          <cell r="N25">
            <v>10.700000000000001</v>
          </cell>
          <cell r="O25">
            <v>8.5449999999999999</v>
          </cell>
          <cell r="P25">
            <v>7.5719999999999992</v>
          </cell>
          <cell r="Q25">
            <v>7.6000000000000005</v>
          </cell>
        </row>
        <row r="28">
          <cell r="B28" t="str">
            <v>Road 1</v>
          </cell>
          <cell r="E28">
            <v>88.5</v>
          </cell>
          <cell r="F28">
            <v>93.1</v>
          </cell>
          <cell r="G28">
            <v>94.7</v>
          </cell>
          <cell r="H28">
            <v>98</v>
          </cell>
          <cell r="I28">
            <v>105.5</v>
          </cell>
          <cell r="J28">
            <v>121.4</v>
          </cell>
          <cell r="K28">
            <v>129.30000000000001</v>
          </cell>
          <cell r="L28">
            <v>127.2</v>
          </cell>
          <cell r="M28">
            <v>121.4</v>
          </cell>
          <cell r="N28">
            <v>118.5</v>
          </cell>
          <cell r="O28">
            <v>126.4</v>
          </cell>
          <cell r="P28">
            <v>135.69999999999999</v>
          </cell>
          <cell r="Q28">
            <v>141.19999999999999</v>
          </cell>
        </row>
        <row r="29">
          <cell r="B29" t="str">
            <v xml:space="preserve">Rail </v>
          </cell>
          <cell r="E29">
            <v>8.9</v>
          </cell>
          <cell r="F29">
            <v>8.9</v>
          </cell>
          <cell r="G29">
            <v>9.1999999999999993</v>
          </cell>
          <cell r="H29">
            <v>9.4</v>
          </cell>
          <cell r="I29">
            <v>10.6</v>
          </cell>
          <cell r="J29">
            <v>11.4</v>
          </cell>
          <cell r="K29">
            <v>10.3</v>
          </cell>
          <cell r="L29">
            <v>8.6999999999999993</v>
          </cell>
          <cell r="M29">
            <v>8.3000000000000007</v>
          </cell>
          <cell r="N29">
            <v>8.1</v>
          </cell>
          <cell r="O29">
            <v>7.91</v>
          </cell>
          <cell r="P29">
            <v>7.8839999999999995</v>
          </cell>
          <cell r="Q29">
            <v>8.5</v>
          </cell>
        </row>
        <row r="30">
          <cell r="B30" t="str">
            <v xml:space="preserve">Water </v>
          </cell>
          <cell r="E30">
            <v>5.0999999999999996</v>
          </cell>
          <cell r="F30">
            <v>5.5</v>
          </cell>
          <cell r="G30">
            <v>3.6</v>
          </cell>
          <cell r="H30">
            <v>5.0999999999999996</v>
          </cell>
          <cell r="I30">
            <v>7.3</v>
          </cell>
          <cell r="J30">
            <v>7.1</v>
          </cell>
          <cell r="K30">
            <v>7.4</v>
          </cell>
          <cell r="L30">
            <v>8.6999999999999993</v>
          </cell>
          <cell r="M30">
            <v>9.9</v>
          </cell>
          <cell r="N30">
            <v>10.4</v>
          </cell>
          <cell r="O30">
            <v>8</v>
          </cell>
          <cell r="P30">
            <v>7.8</v>
          </cell>
          <cell r="Q30">
            <v>8.3000000000000007</v>
          </cell>
        </row>
        <row r="31">
          <cell r="B31" t="str">
            <v>All modes</v>
          </cell>
          <cell r="E31">
            <v>102.5</v>
          </cell>
          <cell r="F31">
            <v>107.5</v>
          </cell>
          <cell r="G31">
            <v>107.5</v>
          </cell>
          <cell r="H31">
            <v>112.5</v>
          </cell>
          <cell r="I31">
            <v>123.39999999999999</v>
          </cell>
          <cell r="J31">
            <v>139.9</v>
          </cell>
          <cell r="K31">
            <v>147.00000000000003</v>
          </cell>
          <cell r="L31">
            <v>144.6</v>
          </cell>
          <cell r="M31">
            <v>139.60000000000002</v>
          </cell>
          <cell r="N31">
            <v>137</v>
          </cell>
          <cell r="O31">
            <v>142.31</v>
          </cell>
          <cell r="P31">
            <v>151.38399999999999</v>
          </cell>
          <cell r="Q31">
            <v>158</v>
          </cell>
        </row>
        <row r="34">
          <cell r="B34" t="str">
            <v>Road 1</v>
          </cell>
          <cell r="E34">
            <v>95.9</v>
          </cell>
          <cell r="F34">
            <v>100.39999999999999</v>
          </cell>
          <cell r="G34">
            <v>103.2</v>
          </cell>
          <cell r="H34">
            <v>105.4</v>
          </cell>
          <cell r="I34">
            <v>113.3</v>
          </cell>
          <cell r="J34">
            <v>130.20000000000002</v>
          </cell>
          <cell r="K34">
            <v>137.80000000000001</v>
          </cell>
          <cell r="L34">
            <v>136.30000000000001</v>
          </cell>
          <cell r="M34">
            <v>130</v>
          </cell>
          <cell r="N34">
            <v>126.5</v>
          </cell>
          <cell r="O34">
            <v>134.5</v>
          </cell>
          <cell r="P34">
            <v>143.69999999999999</v>
          </cell>
          <cell r="Q34">
            <v>149.6</v>
          </cell>
        </row>
        <row r="35">
          <cell r="B35" t="str">
            <v xml:space="preserve">Rail </v>
          </cell>
          <cell r="E35">
            <v>17.100000000000001</v>
          </cell>
          <cell r="F35">
            <v>12.700000000000001</v>
          </cell>
          <cell r="G35">
            <v>15.299999999999999</v>
          </cell>
          <cell r="H35">
            <v>16.600000000000001</v>
          </cell>
          <cell r="I35">
            <v>17.3</v>
          </cell>
          <cell r="J35">
            <v>18.2</v>
          </cell>
          <cell r="K35">
            <v>17.3</v>
          </cell>
          <cell r="L35">
            <v>15.799999999999999</v>
          </cell>
          <cell r="M35">
            <v>15.3</v>
          </cell>
          <cell r="N35">
            <v>15.5</v>
          </cell>
          <cell r="O35">
            <v>13.765000000000001</v>
          </cell>
          <cell r="P35">
            <v>12.977999999999998</v>
          </cell>
          <cell r="Q35">
            <v>13.3</v>
          </cell>
        </row>
        <row r="36">
          <cell r="B36" t="str">
            <v xml:space="preserve">Water </v>
          </cell>
          <cell r="E36">
            <v>60.3</v>
          </cell>
          <cell r="F36">
            <v>59.7</v>
          </cell>
          <cell r="G36">
            <v>57.6</v>
          </cell>
          <cell r="H36">
            <v>54.800000000000004</v>
          </cell>
          <cell r="I36">
            <v>54.099999999999994</v>
          </cell>
          <cell r="J36">
            <v>59.3</v>
          </cell>
          <cell r="K36">
            <v>57.9</v>
          </cell>
          <cell r="L36">
            <v>55.7</v>
          </cell>
          <cell r="M36">
            <v>57.699999999999996</v>
          </cell>
          <cell r="N36">
            <v>54.900000000000006</v>
          </cell>
          <cell r="O36">
            <v>51.2</v>
          </cell>
          <cell r="P36">
            <v>52.2</v>
          </cell>
          <cell r="Q36">
            <v>52.6</v>
          </cell>
        </row>
        <row r="37">
          <cell r="B37" t="str">
            <v xml:space="preserve">Pipeline </v>
          </cell>
          <cell r="E37">
            <v>9.9</v>
          </cell>
          <cell r="F37">
            <v>10.4</v>
          </cell>
          <cell r="G37">
            <v>11.2</v>
          </cell>
          <cell r="H37">
            <v>10.4</v>
          </cell>
          <cell r="I37">
            <v>10.5</v>
          </cell>
          <cell r="J37">
            <v>11.1</v>
          </cell>
          <cell r="K37">
            <v>9.8000000000000007</v>
          </cell>
          <cell r="L37">
            <v>11</v>
          </cell>
          <cell r="M37">
            <v>11.1</v>
          </cell>
          <cell r="N37">
            <v>11</v>
          </cell>
          <cell r="O37">
            <v>11.6</v>
          </cell>
          <cell r="P37">
            <v>12</v>
          </cell>
          <cell r="Q37">
            <v>12.2</v>
          </cell>
        </row>
        <row r="38">
          <cell r="B38" t="str">
            <v xml:space="preserve">All modes </v>
          </cell>
          <cell r="E38">
            <v>183.20000000000002</v>
          </cell>
          <cell r="F38">
            <v>183.20000000000002</v>
          </cell>
          <cell r="G38">
            <v>187.29999999999998</v>
          </cell>
          <cell r="H38">
            <v>187.20000000000002</v>
          </cell>
          <cell r="I38">
            <v>195.2</v>
          </cell>
          <cell r="J38">
            <v>218.79999999999998</v>
          </cell>
          <cell r="K38">
            <v>222.80000000000004</v>
          </cell>
          <cell r="L38">
            <v>218.8</v>
          </cell>
          <cell r="M38">
            <v>214.1</v>
          </cell>
          <cell r="N38">
            <v>207.9</v>
          </cell>
          <cell r="O38">
            <v>211.06499999999997</v>
          </cell>
          <cell r="P38">
            <v>220.87799999999999</v>
          </cell>
          <cell r="Q38">
            <v>227.7</v>
          </cell>
        </row>
        <row r="41">
          <cell r="B41" t="str">
            <v>Road 1</v>
          </cell>
          <cell r="E41">
            <v>52.3471615720524</v>
          </cell>
          <cell r="F41">
            <v>54.803493449781648</v>
          </cell>
          <cell r="G41">
            <v>55.098772023491726</v>
          </cell>
          <cell r="H41">
            <v>56.303418803418801</v>
          </cell>
          <cell r="I41">
            <v>58.043032786885249</v>
          </cell>
          <cell r="J41">
            <v>59.506398537477153</v>
          </cell>
          <cell r="K41">
            <v>61.849192100538595</v>
          </cell>
          <cell r="L41">
            <v>62.294332723948806</v>
          </cell>
          <cell r="M41">
            <v>60.719290051377861</v>
          </cell>
          <cell r="N41">
            <v>60.846560846560848</v>
          </cell>
          <cell r="O41">
            <v>63.724445076161388</v>
          </cell>
          <cell r="P41">
            <v>65.058539103034249</v>
          </cell>
          <cell r="Q41">
            <v>65.700483091787447</v>
          </cell>
        </row>
        <row r="42">
          <cell r="B42" t="str">
            <v xml:space="preserve">Rail </v>
          </cell>
          <cell r="E42">
            <v>9.3340611353711793</v>
          </cell>
          <cell r="F42">
            <v>6.9323144104803491</v>
          </cell>
          <cell r="G42">
            <v>8.1687132941804581</v>
          </cell>
          <cell r="H42">
            <v>8.867521367521368</v>
          </cell>
          <cell r="I42">
            <v>8.8627049180327884</v>
          </cell>
          <cell r="J42">
            <v>8.3180987202925056</v>
          </cell>
          <cell r="K42">
            <v>7.7648114901256724</v>
          </cell>
          <cell r="L42">
            <v>7.221206581352833</v>
          </cell>
          <cell r="M42">
            <v>7.1461933675852407</v>
          </cell>
          <cell r="N42">
            <v>7.4555074555074556</v>
          </cell>
          <cell r="O42">
            <v>6.5216876317722035</v>
          </cell>
          <cell r="P42">
            <v>5.8756417569880197</v>
          </cell>
          <cell r="Q42">
            <v>5.8410188844971467</v>
          </cell>
        </row>
        <row r="43">
          <cell r="B43" t="str">
            <v xml:space="preserve">Water </v>
          </cell>
          <cell r="E43">
            <v>32.914847161572048</v>
          </cell>
          <cell r="F43">
            <v>32.587336244541483</v>
          </cell>
          <cell r="G43">
            <v>30.752802989855848</v>
          </cell>
          <cell r="H43">
            <v>29.273504273504276</v>
          </cell>
          <cell r="I43">
            <v>27.715163934426229</v>
          </cell>
          <cell r="J43">
            <v>27.102376599634368</v>
          </cell>
          <cell r="K43">
            <v>25.987432675044879</v>
          </cell>
          <cell r="L43">
            <v>25.457038391224863</v>
          </cell>
          <cell r="M43">
            <v>26.950023353573094</v>
          </cell>
          <cell r="N43">
            <v>26.406926406926406</v>
          </cell>
          <cell r="O43">
            <v>24.257930021557346</v>
          </cell>
          <cell r="P43">
            <v>23.632955749327685</v>
          </cell>
          <cell r="Q43">
            <v>23.100570926657884</v>
          </cell>
        </row>
        <row r="44">
          <cell r="B44" t="str">
            <v>Pipeline</v>
          </cell>
          <cell r="E44">
            <v>5.4039301310043664</v>
          </cell>
          <cell r="F44">
            <v>5.676855895196506</v>
          </cell>
          <cell r="G44">
            <v>5.9797116924719704</v>
          </cell>
          <cell r="H44">
            <v>5.5555555555555554</v>
          </cell>
          <cell r="I44">
            <v>5.3790983606557381</v>
          </cell>
          <cell r="J44">
            <v>5.0731261425959779</v>
          </cell>
          <cell r="K44">
            <v>4.3985637342908435</v>
          </cell>
          <cell r="L44">
            <v>5.0274223034734913</v>
          </cell>
          <cell r="M44">
            <v>5.1844932274638014</v>
          </cell>
          <cell r="N44">
            <v>5.2910052910052912</v>
          </cell>
          <cell r="O44">
            <v>5.495937270509085</v>
          </cell>
          <cell r="P44">
            <v>5.4328633906500423</v>
          </cell>
          <cell r="Q44">
            <v>5.3579270970575319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mmentarySA"/>
      <sheetName val="TABLE1a"/>
      <sheetName val="TABLE1b"/>
      <sheetName val="TABLE2"/>
      <sheetName val="TABLE3"/>
      <sheetName val="TABLE3a"/>
      <sheetName val="TABLE3b"/>
      <sheetName val="TABLE4AL"/>
      <sheetName val="TABLE4a"/>
      <sheetName val="TABLE4b"/>
      <sheetName val="TABLE5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  <sheetData sheetId="9" refreshError="1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s://aitd.net.in/pdf/AsianJournals/27-Fuel%20Efficiency%20of%20Road%20Transport.pdf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://environmentportal.in/files/file/2017%20Global%20update.pdf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hyperlink" Target="https://journals.sagepub.com/doi/pdf/10.1177/0361198105194100102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publications.anl.gov/anlpubs/2018/01/141595.pdf" TargetMode="Externa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hyperlink" Target="https://www.researchgate.net/profile/John-Decicco/publication/289323758_Assessing_the_Fuel_Economy_Potential_of_Light-Duty_Vehicles/links/5d41ebcea6fdcc370a713460/Assessing-the-Fuel-Economy-Potential-of-Light-Duty-Vehicles.pdf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hyperlink" Target="https://enveurope.springeropen.com/track/pdf/10.1186/s12302-020-00307-8.pdf" TargetMode="Externa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5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www.transportpolicy.net/standard/us-light-duty-fuel-economy-and-ghg/" TargetMode="Externa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hyperlink" Target="https://www.bts.gov/archive/publications/bts_fact_sheets/oct_2015/figure_01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.xml"/><Relationship Id="rId3" Type="http://schemas.openxmlformats.org/officeDocument/2006/relationships/hyperlink" Target="http://www.gov.uk/government/organisations/department-for-transport/series/road-traffic-statistics" TargetMode="External"/><Relationship Id="rId7" Type="http://schemas.openxmlformats.org/officeDocument/2006/relationships/printerSettings" Target="../printerSettings/printerSettings3.bin"/><Relationship Id="rId2" Type="http://schemas.openxmlformats.org/officeDocument/2006/relationships/hyperlink" Target="http://tna.europarchive.org/20110503185748/http:/www.dft.gov.uk/excel/173025/221412/221522/222944/rfs2009section1.xls" TargetMode="External"/><Relationship Id="rId1" Type="http://schemas.openxmlformats.org/officeDocument/2006/relationships/hyperlink" Target="https://www.gov.uk/government/publications/energy-consumption-in-the-uk" TargetMode="External"/><Relationship Id="rId6" Type="http://schemas.openxmlformats.org/officeDocument/2006/relationships/hyperlink" Target="https://www.gov.uk/government/statistics/energy-consumption-in-the-uk" TargetMode="External"/><Relationship Id="rId5" Type="http://schemas.openxmlformats.org/officeDocument/2006/relationships/hyperlink" Target="https://www.gov.uk/government/publications/road-traffic-statistics-guidance" TargetMode="External"/><Relationship Id="rId10" Type="http://schemas.openxmlformats.org/officeDocument/2006/relationships/comments" Target="../comments1.xml"/><Relationship Id="rId4" Type="http://schemas.openxmlformats.org/officeDocument/2006/relationships/hyperlink" Target="https://www.gov.uk/government/publications/road-traffic-statistics-minor-road-benchmarking" TargetMode="External"/><Relationship Id="rId9" Type="http://schemas.openxmlformats.org/officeDocument/2006/relationships/vmlDrawing" Target="../drawings/vmlDrawing1.v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://www.eia.gov/totalenergy/data/monthly/dataunits.cfm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159"/>
  <sheetViews>
    <sheetView tabSelected="1" zoomScale="80" zoomScaleNormal="80" workbookViewId="0">
      <selection activeCell="A26" sqref="A26"/>
    </sheetView>
  </sheetViews>
  <sheetFormatPr defaultColWidth="9.109375" defaultRowHeight="14.4"/>
  <cols>
    <col min="1" max="16384" width="9.109375" style="18"/>
  </cols>
  <sheetData>
    <row r="1" spans="1:1" s="305" customFormat="1">
      <c r="A1" s="304" t="s">
        <v>612</v>
      </c>
    </row>
    <row r="2" spans="1:1" s="305" customFormat="1">
      <c r="A2" s="304" t="s">
        <v>613</v>
      </c>
    </row>
    <row r="3" spans="1:1" s="305" customFormat="1">
      <c r="A3" s="304" t="s">
        <v>614</v>
      </c>
    </row>
    <row r="4" spans="1:1" s="305" customFormat="1">
      <c r="A4" s="304" t="s">
        <v>615</v>
      </c>
    </row>
    <row r="5" spans="1:1" s="305" customFormat="1">
      <c r="A5" s="304" t="s">
        <v>616</v>
      </c>
    </row>
    <row r="6" spans="1:1" s="305" customFormat="1">
      <c r="A6" s="304" t="s">
        <v>617</v>
      </c>
    </row>
    <row r="7" spans="1:1" s="305" customFormat="1">
      <c r="A7" s="304" t="s">
        <v>114</v>
      </c>
    </row>
    <row r="8" spans="1:1" s="305" customFormat="1">
      <c r="A8" s="304"/>
    </row>
    <row r="9" spans="1:1" s="305" customFormat="1">
      <c r="A9" s="308" t="s">
        <v>685</v>
      </c>
    </row>
    <row r="10" spans="1:1" s="305" customFormat="1">
      <c r="A10" s="304" t="s">
        <v>618</v>
      </c>
    </row>
    <row r="11" spans="1:1" s="305" customFormat="1">
      <c r="A11" s="304" t="s">
        <v>619</v>
      </c>
    </row>
    <row r="12" spans="1:1" s="305" customFormat="1">
      <c r="A12" s="304" t="s">
        <v>620</v>
      </c>
    </row>
    <row r="13" spans="1:1" s="305" customFormat="1">
      <c r="A13" s="304" t="s">
        <v>621</v>
      </c>
    </row>
    <row r="14" spans="1:1" s="305" customFormat="1">
      <c r="A14" s="304" t="s">
        <v>622</v>
      </c>
    </row>
    <row r="15" spans="1:1" s="305" customFormat="1">
      <c r="A15" s="304" t="s">
        <v>114</v>
      </c>
    </row>
    <row r="16" spans="1:1" s="305" customFormat="1">
      <c r="A16" s="304"/>
    </row>
    <row r="17" spans="1:1" s="305" customFormat="1">
      <c r="A17" s="304" t="s">
        <v>686</v>
      </c>
    </row>
    <row r="18" spans="1:1" s="305" customFormat="1">
      <c r="A18" s="304" t="s">
        <v>623</v>
      </c>
    </row>
    <row r="19" spans="1:1" s="305" customFormat="1">
      <c r="A19" s="304" t="s">
        <v>624</v>
      </c>
    </row>
    <row r="20" spans="1:1" s="305" customFormat="1">
      <c r="A20" s="304" t="s">
        <v>625</v>
      </c>
    </row>
    <row r="21" spans="1:1" s="305" customFormat="1">
      <c r="A21" s="304" t="s">
        <v>626</v>
      </c>
    </row>
    <row r="22" spans="1:1" s="305" customFormat="1">
      <c r="A22" s="304" t="s">
        <v>617</v>
      </c>
    </row>
    <row r="23" spans="1:1" s="305" customFormat="1">
      <c r="A23" s="304" t="s">
        <v>114</v>
      </c>
    </row>
    <row r="24" spans="1:1" s="305" customFormat="1">
      <c r="A24" s="304"/>
    </row>
    <row r="25" spans="1:1" s="305" customFormat="1">
      <c r="A25" s="308" t="s">
        <v>687</v>
      </c>
    </row>
    <row r="26" spans="1:1" s="305" customFormat="1">
      <c r="A26" s="304" t="s">
        <v>627</v>
      </c>
    </row>
    <row r="27" spans="1:1" s="305" customFormat="1">
      <c r="A27" s="304" t="s">
        <v>628</v>
      </c>
    </row>
    <row r="28" spans="1:1" s="305" customFormat="1">
      <c r="A28" s="304" t="s">
        <v>629</v>
      </c>
    </row>
    <row r="29" spans="1:1" s="305" customFormat="1">
      <c r="A29" s="304" t="s">
        <v>630</v>
      </c>
    </row>
    <row r="30" spans="1:1" s="305" customFormat="1">
      <c r="A30" s="304" t="s">
        <v>631</v>
      </c>
    </row>
    <row r="31" spans="1:1" s="305" customFormat="1">
      <c r="A31" s="304" t="s">
        <v>632</v>
      </c>
    </row>
    <row r="32" spans="1:1" s="305" customFormat="1">
      <c r="A32" s="304" t="s">
        <v>114</v>
      </c>
    </row>
    <row r="33" spans="1:1" s="305" customFormat="1">
      <c r="A33" s="304"/>
    </row>
    <row r="34" spans="1:1">
      <c r="A34" s="304" t="s">
        <v>155</v>
      </c>
    </row>
    <row r="35" spans="1:1">
      <c r="A35" s="304" t="s">
        <v>156</v>
      </c>
    </row>
    <row r="36" spans="1:1">
      <c r="A36" s="304" t="s">
        <v>157</v>
      </c>
    </row>
    <row r="37" spans="1:1">
      <c r="A37" s="304" t="s">
        <v>158</v>
      </c>
    </row>
    <row r="38" spans="1:1">
      <c r="A38" s="304" t="s">
        <v>159</v>
      </c>
    </row>
    <row r="39" spans="1:1">
      <c r="A39" s="304" t="s">
        <v>160</v>
      </c>
    </row>
    <row r="40" spans="1:1">
      <c r="A40" s="304" t="s">
        <v>114</v>
      </c>
    </row>
    <row r="42" spans="1:1">
      <c r="A42" s="306" t="s">
        <v>633</v>
      </c>
    </row>
    <row r="43" spans="1:1">
      <c r="A43" s="306" t="s">
        <v>634</v>
      </c>
    </row>
    <row r="44" spans="1:1">
      <c r="A44" s="306" t="s">
        <v>635</v>
      </c>
    </row>
    <row r="45" spans="1:1">
      <c r="A45" s="306" t="s">
        <v>636</v>
      </c>
    </row>
    <row r="46" spans="1:1">
      <c r="A46" s="306" t="s">
        <v>637</v>
      </c>
    </row>
    <row r="47" spans="1:1">
      <c r="A47" s="306" t="s">
        <v>638</v>
      </c>
    </row>
    <row r="48" spans="1:1">
      <c r="A48" s="306" t="s">
        <v>639</v>
      </c>
    </row>
    <row r="49" spans="1:1">
      <c r="A49" s="306" t="s">
        <v>640</v>
      </c>
    </row>
    <row r="50" spans="1:1">
      <c r="A50" s="306" t="s">
        <v>642</v>
      </c>
    </row>
    <row r="51" spans="1:1">
      <c r="A51" s="306" t="s">
        <v>641</v>
      </c>
    </row>
    <row r="52" spans="1:1">
      <c r="A52" s="306" t="s">
        <v>114</v>
      </c>
    </row>
    <row r="54" spans="1:1">
      <c r="A54" s="306" t="s">
        <v>643</v>
      </c>
    </row>
    <row r="55" spans="1:1">
      <c r="A55" s="306" t="s">
        <v>644</v>
      </c>
    </row>
    <row r="56" spans="1:1">
      <c r="A56" s="306" t="s">
        <v>645</v>
      </c>
    </row>
    <row r="57" spans="1:1">
      <c r="A57" s="306" t="s">
        <v>646</v>
      </c>
    </row>
    <row r="58" spans="1:1">
      <c r="A58" s="306" t="s">
        <v>647</v>
      </c>
    </row>
    <row r="59" spans="1:1">
      <c r="A59" s="306" t="s">
        <v>113</v>
      </c>
    </row>
    <row r="60" spans="1:1">
      <c r="A60" s="306" t="s">
        <v>648</v>
      </c>
    </row>
    <row r="61" spans="1:1">
      <c r="A61" s="306" t="s">
        <v>649</v>
      </c>
    </row>
    <row r="62" spans="1:1">
      <c r="A62" s="306" t="s">
        <v>650</v>
      </c>
    </row>
    <row r="63" spans="1:1">
      <c r="A63" s="306" t="s">
        <v>133</v>
      </c>
    </row>
    <row r="64" spans="1:1" ht="17.100000000000001" customHeight="1">
      <c r="A64" s="306" t="s">
        <v>114</v>
      </c>
    </row>
    <row r="66" spans="1:1">
      <c r="A66" s="304" t="s">
        <v>115</v>
      </c>
    </row>
    <row r="67" spans="1:1">
      <c r="A67" s="304" t="s">
        <v>116</v>
      </c>
    </row>
    <row r="68" spans="1:1">
      <c r="A68" s="304" t="s">
        <v>117</v>
      </c>
    </row>
    <row r="69" spans="1:1">
      <c r="A69" s="304" t="s">
        <v>145</v>
      </c>
    </row>
    <row r="70" spans="1:1">
      <c r="A70" s="304" t="s">
        <v>146</v>
      </c>
    </row>
    <row r="71" spans="1:1">
      <c r="A71" s="304" t="s">
        <v>114</v>
      </c>
    </row>
    <row r="72" spans="1:1">
      <c r="A72" s="304"/>
    </row>
    <row r="73" spans="1:1">
      <c r="A73" s="304" t="s">
        <v>118</v>
      </c>
    </row>
    <row r="74" spans="1:1">
      <c r="A74" s="304" t="s">
        <v>119</v>
      </c>
    </row>
    <row r="75" spans="1:1">
      <c r="A75" s="304" t="s">
        <v>120</v>
      </c>
    </row>
    <row r="76" spans="1:1">
      <c r="A76" s="304" t="s">
        <v>121</v>
      </c>
    </row>
    <row r="77" spans="1:1">
      <c r="A77" s="304" t="s">
        <v>122</v>
      </c>
    </row>
    <row r="78" spans="1:1">
      <c r="A78" s="304" t="s">
        <v>123</v>
      </c>
    </row>
    <row r="79" spans="1:1">
      <c r="A79" s="304" t="s">
        <v>153</v>
      </c>
    </row>
    <row r="80" spans="1:1">
      <c r="A80" s="304" t="s">
        <v>114</v>
      </c>
    </row>
    <row r="81" spans="1:1">
      <c r="A81" s="304"/>
    </row>
    <row r="82" spans="1:1">
      <c r="A82" s="304" t="s">
        <v>126</v>
      </c>
    </row>
    <row r="83" spans="1:1">
      <c r="A83" s="304" t="s">
        <v>127</v>
      </c>
    </row>
    <row r="84" spans="1:1">
      <c r="A84" s="304" t="s">
        <v>128</v>
      </c>
    </row>
    <row r="85" spans="1:1">
      <c r="A85" s="304" t="s">
        <v>129</v>
      </c>
    </row>
    <row r="86" spans="1:1">
      <c r="A86" s="304" t="s">
        <v>130</v>
      </c>
    </row>
    <row r="87" spans="1:1">
      <c r="A87" s="304" t="s">
        <v>131</v>
      </c>
    </row>
    <row r="88" spans="1:1">
      <c r="A88" s="304" t="s">
        <v>132</v>
      </c>
    </row>
    <row r="89" spans="1:1">
      <c r="A89" s="304" t="s">
        <v>133</v>
      </c>
    </row>
    <row r="90" spans="1:1">
      <c r="A90" s="304" t="s">
        <v>134</v>
      </c>
    </row>
    <row r="91" spans="1:1">
      <c r="A91" s="304" t="s">
        <v>114</v>
      </c>
    </row>
    <row r="93" spans="1:1">
      <c r="A93" s="304" t="s">
        <v>135</v>
      </c>
    </row>
    <row r="94" spans="1:1">
      <c r="A94" s="304" t="s">
        <v>136</v>
      </c>
    </row>
    <row r="95" spans="1:1">
      <c r="A95" s="304" t="s">
        <v>137</v>
      </c>
    </row>
    <row r="96" spans="1:1">
      <c r="A96" s="304" t="s">
        <v>138</v>
      </c>
    </row>
    <row r="97" spans="1:1">
      <c r="A97" s="304" t="s">
        <v>139</v>
      </c>
    </row>
    <row r="98" spans="1:1">
      <c r="A98" s="304" t="s">
        <v>140</v>
      </c>
    </row>
    <row r="99" spans="1:1">
      <c r="A99" s="304" t="s">
        <v>154</v>
      </c>
    </row>
    <row r="100" spans="1:1">
      <c r="A100" s="304" t="s">
        <v>114</v>
      </c>
    </row>
    <row r="101" spans="1:1">
      <c r="A101" s="304"/>
    </row>
    <row r="102" spans="1:1">
      <c r="A102" s="304" t="s">
        <v>141</v>
      </c>
    </row>
    <row r="103" spans="1:1">
      <c r="A103" s="304" t="s">
        <v>142</v>
      </c>
    </row>
    <row r="104" spans="1:1">
      <c r="A104" s="304" t="s">
        <v>143</v>
      </c>
    </row>
    <row r="105" spans="1:1">
      <c r="A105" s="304" t="s">
        <v>144</v>
      </c>
    </row>
    <row r="106" spans="1:1">
      <c r="A106" s="304" t="s">
        <v>114</v>
      </c>
    </row>
    <row r="107" spans="1:1">
      <c r="A107" s="304"/>
    </row>
    <row r="108" spans="1:1">
      <c r="A108" s="304" t="s">
        <v>147</v>
      </c>
    </row>
    <row r="109" spans="1:1">
      <c r="A109" s="304" t="s">
        <v>148</v>
      </c>
    </row>
    <row r="110" spans="1:1">
      <c r="A110" s="304" t="s">
        <v>149</v>
      </c>
    </row>
    <row r="111" spans="1:1">
      <c r="A111" s="304" t="s">
        <v>150</v>
      </c>
    </row>
    <row r="112" spans="1:1">
      <c r="A112" s="304" t="s">
        <v>151</v>
      </c>
    </row>
    <row r="113" spans="1:1">
      <c r="A113" s="304" t="s">
        <v>152</v>
      </c>
    </row>
    <row r="114" spans="1:1">
      <c r="A114" s="304" t="s">
        <v>114</v>
      </c>
    </row>
    <row r="115" spans="1:1">
      <c r="A115" s="304"/>
    </row>
    <row r="116" spans="1:1">
      <c r="A116" s="304" t="s">
        <v>161</v>
      </c>
    </row>
    <row r="117" spans="1:1">
      <c r="A117" s="304" t="s">
        <v>162</v>
      </c>
    </row>
    <row r="118" spans="1:1">
      <c r="A118" s="304" t="s">
        <v>163</v>
      </c>
    </row>
    <row r="119" spans="1:1">
      <c r="A119" s="304" t="s">
        <v>140</v>
      </c>
    </row>
    <row r="120" spans="1:1">
      <c r="A120" s="304" t="s">
        <v>164</v>
      </c>
    </row>
    <row r="121" spans="1:1">
      <c r="A121" s="304" t="s">
        <v>114</v>
      </c>
    </row>
    <row r="122" spans="1:1">
      <c r="A122" s="304"/>
    </row>
    <row r="123" spans="1:1">
      <c r="A123" s="304" t="s">
        <v>165</v>
      </c>
    </row>
    <row r="124" spans="1:1">
      <c r="A124" s="304" t="s">
        <v>166</v>
      </c>
    </row>
    <row r="125" spans="1:1">
      <c r="A125" s="304" t="s">
        <v>167</v>
      </c>
    </row>
    <row r="126" spans="1:1">
      <c r="A126" s="304" t="s">
        <v>168</v>
      </c>
    </row>
    <row r="127" spans="1:1">
      <c r="A127" s="304" t="s">
        <v>169</v>
      </c>
    </row>
    <row r="128" spans="1:1">
      <c r="A128" s="304" t="s">
        <v>170</v>
      </c>
    </row>
    <row r="129" spans="1:1">
      <c r="A129" s="304" t="s">
        <v>132</v>
      </c>
    </row>
    <row r="130" spans="1:1">
      <c r="A130" s="304" t="s">
        <v>171</v>
      </c>
    </row>
    <row r="131" spans="1:1">
      <c r="A131" s="304" t="s">
        <v>114</v>
      </c>
    </row>
    <row r="132" spans="1:1">
      <c r="A132" s="304"/>
    </row>
    <row r="133" spans="1:1">
      <c r="A133" s="304" t="s">
        <v>172</v>
      </c>
    </row>
    <row r="134" spans="1:1">
      <c r="A134" s="304" t="s">
        <v>173</v>
      </c>
    </row>
    <row r="135" spans="1:1">
      <c r="A135" s="304" t="s">
        <v>174</v>
      </c>
    </row>
    <row r="136" spans="1:1">
      <c r="A136" s="304" t="s">
        <v>175</v>
      </c>
    </row>
    <row r="137" spans="1:1">
      <c r="A137" s="304" t="s">
        <v>176</v>
      </c>
    </row>
    <row r="138" spans="1:1">
      <c r="A138" s="304" t="s">
        <v>177</v>
      </c>
    </row>
    <row r="139" spans="1:1">
      <c r="A139" s="304" t="s">
        <v>114</v>
      </c>
    </row>
    <row r="140" spans="1:1">
      <c r="A140" s="304"/>
    </row>
    <row r="141" spans="1:1">
      <c r="A141" s="308" t="s">
        <v>684</v>
      </c>
    </row>
    <row r="142" spans="1:1">
      <c r="A142" s="304" t="s">
        <v>178</v>
      </c>
    </row>
    <row r="143" spans="1:1">
      <c r="A143" s="304" t="s">
        <v>179</v>
      </c>
    </row>
    <row r="144" spans="1:1">
      <c r="A144" s="304" t="s">
        <v>168</v>
      </c>
    </row>
    <row r="145" spans="1:1">
      <c r="A145" s="304" t="s">
        <v>169</v>
      </c>
    </row>
    <row r="146" spans="1:1">
      <c r="A146" s="304" t="s">
        <v>180</v>
      </c>
    </row>
    <row r="147" spans="1:1">
      <c r="A147" s="304" t="s">
        <v>181</v>
      </c>
    </row>
    <row r="148" spans="1:1">
      <c r="A148" s="304" t="s">
        <v>114</v>
      </c>
    </row>
    <row r="149" spans="1:1">
      <c r="A149" s="304"/>
    </row>
    <row r="150" spans="1:1">
      <c r="A150" s="307" t="s">
        <v>651</v>
      </c>
    </row>
    <row r="151" spans="1:1">
      <c r="A151" s="307" t="s">
        <v>652</v>
      </c>
    </row>
    <row r="152" spans="1:1">
      <c r="A152" s="307" t="s">
        <v>653</v>
      </c>
    </row>
    <row r="153" spans="1:1">
      <c r="A153" s="307" t="s">
        <v>654</v>
      </c>
    </row>
    <row r="154" spans="1:1">
      <c r="A154" s="307" t="s">
        <v>655</v>
      </c>
    </row>
    <row r="155" spans="1:1">
      <c r="A155" s="307" t="s">
        <v>656</v>
      </c>
    </row>
    <row r="156" spans="1:1">
      <c r="A156" s="307" t="s">
        <v>132</v>
      </c>
    </row>
    <row r="157" spans="1:1">
      <c r="A157" s="307" t="s">
        <v>657</v>
      </c>
    </row>
    <row r="158" spans="1:1">
      <c r="A158" s="307" t="s">
        <v>133</v>
      </c>
    </row>
    <row r="159" spans="1:1">
      <c r="A159" s="307" t="s">
        <v>114</v>
      </c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pageSetUpPr fitToPage="1"/>
  </sheetPr>
  <dimension ref="A1:Q166"/>
  <sheetViews>
    <sheetView showGridLines="0" zoomScaleNormal="100" workbookViewId="0">
      <pane xSplit="1" ySplit="1" topLeftCell="B43" activePane="bottomRight" state="frozen"/>
      <selection activeCell="D1" sqref="D1"/>
      <selection pane="topRight" activeCell="D1" sqref="D1"/>
      <selection pane="bottomLeft" activeCell="D1" sqref="D1"/>
      <selection pane="bottomRight" activeCell="A47" sqref="A47"/>
    </sheetView>
  </sheetViews>
  <sheetFormatPr defaultColWidth="9.109375" defaultRowHeight="11.4" customHeight="1"/>
  <cols>
    <col min="1" max="1" width="50.6640625" style="214" customWidth="1"/>
    <col min="2" max="17" width="10.6640625" style="266" customWidth="1"/>
    <col min="18" max="16384" width="9.109375" style="214"/>
  </cols>
  <sheetData>
    <row r="1" spans="1:17" ht="13.5" customHeight="1">
      <c r="A1" s="212" t="s">
        <v>507</v>
      </c>
      <c r="B1" s="213">
        <v>2000</v>
      </c>
      <c r="C1" s="213">
        <v>2001</v>
      </c>
      <c r="D1" s="213">
        <v>2002</v>
      </c>
      <c r="E1" s="213">
        <v>2003</v>
      </c>
      <c r="F1" s="213">
        <v>2004</v>
      </c>
      <c r="G1" s="213">
        <v>2005</v>
      </c>
      <c r="H1" s="213">
        <v>2006</v>
      </c>
      <c r="I1" s="213">
        <v>2007</v>
      </c>
      <c r="J1" s="213">
        <v>2008</v>
      </c>
      <c r="K1" s="213">
        <v>2009</v>
      </c>
      <c r="L1" s="213">
        <v>2010</v>
      </c>
      <c r="M1" s="213">
        <v>2011</v>
      </c>
      <c r="N1" s="213">
        <v>2012</v>
      </c>
      <c r="O1" s="213">
        <v>2013</v>
      </c>
      <c r="P1" s="213">
        <v>2014</v>
      </c>
      <c r="Q1" s="213">
        <v>2015</v>
      </c>
    </row>
    <row r="2" spans="1:17" ht="11.4" customHeight="1">
      <c r="A2" s="215"/>
      <c r="B2" s="216"/>
      <c r="C2" s="216"/>
      <c r="D2" s="216"/>
      <c r="E2" s="216"/>
      <c r="F2" s="216"/>
      <c r="G2" s="216"/>
      <c r="H2" s="216"/>
      <c r="I2" s="216"/>
      <c r="J2" s="216"/>
      <c r="K2" s="216"/>
      <c r="L2" s="216"/>
      <c r="M2" s="216"/>
      <c r="N2" s="216"/>
      <c r="O2" s="216"/>
      <c r="P2" s="216"/>
      <c r="Q2" s="216"/>
    </row>
    <row r="3" spans="1:17" ht="11.4" customHeight="1">
      <c r="A3" s="217" t="s">
        <v>508</v>
      </c>
      <c r="B3" s="218"/>
      <c r="C3" s="218"/>
      <c r="D3" s="218"/>
      <c r="E3" s="218"/>
      <c r="F3" s="218"/>
      <c r="G3" s="218"/>
      <c r="H3" s="218"/>
      <c r="I3" s="218"/>
      <c r="J3" s="218"/>
      <c r="K3" s="218"/>
      <c r="L3" s="218"/>
      <c r="M3" s="218"/>
      <c r="N3" s="218"/>
      <c r="O3" s="218"/>
      <c r="P3" s="218"/>
      <c r="Q3" s="218"/>
    </row>
    <row r="4" spans="1:17" ht="11.4" customHeight="1">
      <c r="A4" s="219" t="s">
        <v>509</v>
      </c>
      <c r="B4" s="220">
        <f>B5+B9+B10+B15</f>
        <v>39465.275849225254</v>
      </c>
      <c r="C4" s="220">
        <f t="shared" ref="C4:Q4" si="0">C5+C9+C10+C15</f>
        <v>39331.076128118904</v>
      </c>
      <c r="D4" s="220">
        <f t="shared" si="0"/>
        <v>39756.455223983059</v>
      </c>
      <c r="E4" s="220">
        <f t="shared" si="0"/>
        <v>39639.670846676825</v>
      </c>
      <c r="F4" s="220">
        <f t="shared" si="0"/>
        <v>39936.948849344117</v>
      </c>
      <c r="G4" s="220">
        <f t="shared" si="0"/>
        <v>40095.758338520616</v>
      </c>
      <c r="H4" s="220">
        <f t="shared" si="0"/>
        <v>40316.21968890979</v>
      </c>
      <c r="I4" s="220">
        <f t="shared" si="0"/>
        <v>40855.521362232219</v>
      </c>
      <c r="J4" s="220">
        <f t="shared" si="0"/>
        <v>39607.846670492479</v>
      </c>
      <c r="K4" s="220">
        <f t="shared" si="0"/>
        <v>38398.603204492807</v>
      </c>
      <c r="L4" s="220">
        <f t="shared" si="0"/>
        <v>37943.038062062464</v>
      </c>
      <c r="M4" s="220">
        <f t="shared" si="0"/>
        <v>37419.006427002547</v>
      </c>
      <c r="N4" s="220">
        <f t="shared" si="0"/>
        <v>37285.836160187697</v>
      </c>
      <c r="O4" s="220">
        <f t="shared" si="0"/>
        <v>37023.66176197202</v>
      </c>
      <c r="P4" s="220">
        <f t="shared" si="0"/>
        <v>37667.890525584597</v>
      </c>
      <c r="Q4" s="220">
        <f t="shared" si="0"/>
        <v>38189.496069547262</v>
      </c>
    </row>
    <row r="5" spans="1:17" ht="11.4" customHeight="1">
      <c r="A5" s="221" t="s">
        <v>510</v>
      </c>
      <c r="B5" s="222">
        <f>SUM(B6:B8)</f>
        <v>39464.066724149568</v>
      </c>
      <c r="C5" s="222">
        <f t="shared" ref="C5:Q5" si="1">SUM(C6:C8)</f>
        <v>39329.898360000007</v>
      </c>
      <c r="D5" s="222">
        <f t="shared" si="1"/>
        <v>39752.575529999995</v>
      </c>
      <c r="E5" s="222">
        <f t="shared" si="1"/>
        <v>39623.33124</v>
      </c>
      <c r="F5" s="222">
        <f t="shared" si="1"/>
        <v>39918.855370000005</v>
      </c>
      <c r="G5" s="222">
        <f t="shared" si="1"/>
        <v>40025.121118448908</v>
      </c>
      <c r="H5" s="222">
        <f t="shared" si="1"/>
        <v>40134.409589999996</v>
      </c>
      <c r="I5" s="222">
        <f t="shared" si="1"/>
        <v>40505.58743</v>
      </c>
      <c r="J5" s="222">
        <f t="shared" si="1"/>
        <v>38808.125790000006</v>
      </c>
      <c r="K5" s="222">
        <f t="shared" si="1"/>
        <v>37408.881789999999</v>
      </c>
      <c r="L5" s="222">
        <f t="shared" si="1"/>
        <v>36790.534023987639</v>
      </c>
      <c r="M5" s="222">
        <f t="shared" si="1"/>
        <v>36353.636030133901</v>
      </c>
      <c r="N5" s="222">
        <f t="shared" si="1"/>
        <v>36387.629936284495</v>
      </c>
      <c r="O5" s="222">
        <f t="shared" si="1"/>
        <v>35996.122319210379</v>
      </c>
      <c r="P5" s="222">
        <f t="shared" si="1"/>
        <v>36491.706080543619</v>
      </c>
      <c r="Q5" s="222">
        <f t="shared" si="1"/>
        <v>37239.93195858605</v>
      </c>
    </row>
    <row r="6" spans="1:17" ht="11.4" customHeight="1">
      <c r="A6" s="223" t="s">
        <v>511</v>
      </c>
      <c r="B6" s="222">
        <v>24.17117686564486</v>
      </c>
      <c r="C6" s="222">
        <v>58.200389999999999</v>
      </c>
      <c r="D6" s="222">
        <v>94.500050000000002</v>
      </c>
      <c r="E6" s="222">
        <v>114.29926</v>
      </c>
      <c r="F6" s="222">
        <v>125.50749999999999</v>
      </c>
      <c r="G6" s="222">
        <v>134.87467457650874</v>
      </c>
      <c r="H6" s="222">
        <v>141.40024</v>
      </c>
      <c r="I6" s="222">
        <v>133.50163000000001</v>
      </c>
      <c r="J6" s="222">
        <v>137.09859</v>
      </c>
      <c r="K6" s="222">
        <v>117.48958</v>
      </c>
      <c r="L6" s="222">
        <v>116.19808008304179</v>
      </c>
      <c r="M6" s="222">
        <v>107.74389532400242</v>
      </c>
      <c r="N6" s="222">
        <v>102.03731908786</v>
      </c>
      <c r="O6" s="222">
        <v>103.18104040497641</v>
      </c>
      <c r="P6" s="222">
        <v>96.612129056095384</v>
      </c>
      <c r="Q6" s="222">
        <v>90.020855454915704</v>
      </c>
    </row>
    <row r="7" spans="1:17" ht="11.4" customHeight="1">
      <c r="A7" s="223" t="s">
        <v>512</v>
      </c>
      <c r="B7" s="222">
        <v>23167.460684749378</v>
      </c>
      <c r="C7" s="222">
        <v>22449.003100000002</v>
      </c>
      <c r="D7" s="222">
        <v>22314.851319999998</v>
      </c>
      <c r="E7" s="222">
        <v>21360.373939999998</v>
      </c>
      <c r="F7" s="222">
        <v>20822.85961</v>
      </c>
      <c r="G7" s="222">
        <v>19975.171337724212</v>
      </c>
      <c r="H7" s="222">
        <v>19350.3279</v>
      </c>
      <c r="I7" s="222">
        <v>18814.525180000001</v>
      </c>
      <c r="J7" s="222">
        <v>17674.937170000001</v>
      </c>
      <c r="K7" s="222">
        <v>16684.763009999999</v>
      </c>
      <c r="L7" s="222">
        <v>15597.978726555593</v>
      </c>
      <c r="M7" s="222">
        <v>14850.803977187616</v>
      </c>
      <c r="N7" s="222">
        <v>14153.439982681259</v>
      </c>
      <c r="O7" s="222">
        <v>13450.057992451939</v>
      </c>
      <c r="P7" s="222">
        <v>13185.047851642603</v>
      </c>
      <c r="Q7" s="222">
        <v>12926.078034838274</v>
      </c>
    </row>
    <row r="8" spans="1:17" ht="11.4" customHeight="1">
      <c r="A8" s="223" t="s">
        <v>513</v>
      </c>
      <c r="B8" s="222">
        <v>16272.434862534545</v>
      </c>
      <c r="C8" s="222">
        <v>16822.694870000003</v>
      </c>
      <c r="D8" s="222">
        <v>17343.224159999998</v>
      </c>
      <c r="E8" s="222">
        <v>18148.658040000002</v>
      </c>
      <c r="F8" s="222">
        <v>18970.488260000002</v>
      </c>
      <c r="G8" s="222">
        <v>19915.07510614819</v>
      </c>
      <c r="H8" s="222">
        <v>20642.68145</v>
      </c>
      <c r="I8" s="222">
        <v>21557.56062</v>
      </c>
      <c r="J8" s="222">
        <v>20996.090029999999</v>
      </c>
      <c r="K8" s="222">
        <v>20606.629199999999</v>
      </c>
      <c r="L8" s="222">
        <v>21076.357217349007</v>
      </c>
      <c r="M8" s="222">
        <v>21395.088157622282</v>
      </c>
      <c r="N8" s="222">
        <v>22132.152634515376</v>
      </c>
      <c r="O8" s="222">
        <v>22442.883286353466</v>
      </c>
      <c r="P8" s="222">
        <v>23210.046099844923</v>
      </c>
      <c r="Q8" s="222">
        <v>24223.833068292861</v>
      </c>
    </row>
    <row r="9" spans="1:17" ht="11.4" customHeight="1">
      <c r="A9" s="221" t="s">
        <v>514</v>
      </c>
      <c r="B9" s="222">
        <v>0</v>
      </c>
      <c r="C9" s="222">
        <v>0</v>
      </c>
      <c r="D9" s="222">
        <v>0</v>
      </c>
      <c r="E9" s="222">
        <v>0</v>
      </c>
      <c r="F9" s="222">
        <v>0</v>
      </c>
      <c r="G9" s="222">
        <v>0</v>
      </c>
      <c r="H9" s="222">
        <v>0</v>
      </c>
      <c r="I9" s="222">
        <v>0</v>
      </c>
      <c r="J9" s="222">
        <v>0</v>
      </c>
      <c r="K9" s="222">
        <v>0</v>
      </c>
      <c r="L9" s="222">
        <v>0</v>
      </c>
      <c r="M9" s="222">
        <v>0</v>
      </c>
      <c r="N9" s="222">
        <v>0</v>
      </c>
      <c r="O9" s="222">
        <v>0</v>
      </c>
      <c r="P9" s="222">
        <v>0</v>
      </c>
      <c r="Q9" s="222">
        <v>0</v>
      </c>
    </row>
    <row r="10" spans="1:17" ht="11.4" customHeight="1">
      <c r="A10" s="221" t="s">
        <v>515</v>
      </c>
      <c r="B10" s="222">
        <f>SUM(B11:B14)</f>
        <v>0</v>
      </c>
      <c r="C10" s="222">
        <f t="shared" ref="C10:Q10" si="2">SUM(C11:C14)</f>
        <v>0</v>
      </c>
      <c r="D10" s="222">
        <f t="shared" si="2"/>
        <v>2.6892100000000001</v>
      </c>
      <c r="E10" s="222">
        <f t="shared" si="2"/>
        <v>14.9993</v>
      </c>
      <c r="F10" s="222">
        <f t="shared" si="2"/>
        <v>16.094200000000001</v>
      </c>
      <c r="G10" s="222">
        <f t="shared" si="2"/>
        <v>68.551770161579014</v>
      </c>
      <c r="H10" s="222">
        <f t="shared" si="2"/>
        <v>180.47443999999999</v>
      </c>
      <c r="I10" s="222">
        <f t="shared" si="2"/>
        <v>348.70015000000001</v>
      </c>
      <c r="J10" s="222">
        <f t="shared" si="2"/>
        <v>798.03932999999995</v>
      </c>
      <c r="K10" s="222">
        <f t="shared" si="2"/>
        <v>988.05587999999989</v>
      </c>
      <c r="L10" s="222">
        <f t="shared" si="2"/>
        <v>1150.6671554861343</v>
      </c>
      <c r="M10" s="222">
        <f t="shared" si="2"/>
        <v>1062.9458188332637</v>
      </c>
      <c r="N10" s="222">
        <f t="shared" si="2"/>
        <v>895.03539725788858</v>
      </c>
      <c r="O10" s="222">
        <f t="shared" si="2"/>
        <v>1023.5668019394518</v>
      </c>
      <c r="P10" s="222">
        <f t="shared" si="2"/>
        <v>1168.0517668794105</v>
      </c>
      <c r="Q10" s="222">
        <f t="shared" si="2"/>
        <v>932.83637031908074</v>
      </c>
    </row>
    <row r="11" spans="1:17" ht="11.4" customHeight="1">
      <c r="A11" s="223" t="s">
        <v>516</v>
      </c>
      <c r="B11" s="222">
        <v>0</v>
      </c>
      <c r="C11" s="222">
        <v>0</v>
      </c>
      <c r="D11" s="222">
        <v>0</v>
      </c>
      <c r="E11" s="222">
        <v>0</v>
      </c>
      <c r="F11" s="222">
        <v>0</v>
      </c>
      <c r="G11" s="222">
        <v>0</v>
      </c>
      <c r="H11" s="222">
        <v>0</v>
      </c>
      <c r="I11" s="222">
        <v>0</v>
      </c>
      <c r="J11" s="222">
        <v>0</v>
      </c>
      <c r="K11" s="222">
        <v>0</v>
      </c>
      <c r="L11" s="222">
        <v>0</v>
      </c>
      <c r="M11" s="222">
        <v>0</v>
      </c>
      <c r="N11" s="222">
        <v>0</v>
      </c>
      <c r="O11" s="222">
        <v>0</v>
      </c>
      <c r="P11" s="222">
        <v>0</v>
      </c>
      <c r="Q11" s="222">
        <v>0</v>
      </c>
    </row>
    <row r="12" spans="1:17" ht="11.4" customHeight="1">
      <c r="A12" s="223" t="s">
        <v>517</v>
      </c>
      <c r="B12" s="222">
        <v>0</v>
      </c>
      <c r="C12" s="222">
        <v>0</v>
      </c>
      <c r="D12" s="222">
        <v>0</v>
      </c>
      <c r="E12" s="222">
        <v>0</v>
      </c>
      <c r="F12" s="222">
        <v>0</v>
      </c>
      <c r="G12" s="222">
        <v>42.731398240292613</v>
      </c>
      <c r="H12" s="222">
        <v>47.893160000000002</v>
      </c>
      <c r="I12" s="222">
        <v>77.200040000000001</v>
      </c>
      <c r="J12" s="222">
        <v>105.10517</v>
      </c>
      <c r="K12" s="222">
        <v>162.74272000000002</v>
      </c>
      <c r="L12" s="222">
        <v>321.00898855000281</v>
      </c>
      <c r="M12" s="222">
        <v>331.87947923241802</v>
      </c>
      <c r="N12" s="222">
        <v>394.0515516796641</v>
      </c>
      <c r="O12" s="222">
        <v>417.74534313084359</v>
      </c>
      <c r="P12" s="222">
        <v>413.89598480507448</v>
      </c>
      <c r="Q12" s="222">
        <v>404.29437832511303</v>
      </c>
    </row>
    <row r="13" spans="1:17" ht="11.4" customHeight="1">
      <c r="A13" s="223" t="s">
        <v>518</v>
      </c>
      <c r="B13" s="222">
        <v>0</v>
      </c>
      <c r="C13" s="222">
        <v>0</v>
      </c>
      <c r="D13" s="222">
        <v>2.6892100000000001</v>
      </c>
      <c r="E13" s="222">
        <v>14.9993</v>
      </c>
      <c r="F13" s="222">
        <v>16.094200000000001</v>
      </c>
      <c r="G13" s="222">
        <v>25.820371921286394</v>
      </c>
      <c r="H13" s="222">
        <v>132.58127999999999</v>
      </c>
      <c r="I13" s="222">
        <v>271.50011000000001</v>
      </c>
      <c r="J13" s="222">
        <v>692.93415999999991</v>
      </c>
      <c r="K13" s="222">
        <v>825.31315999999993</v>
      </c>
      <c r="L13" s="222">
        <v>829.65816693613147</v>
      </c>
      <c r="M13" s="222">
        <v>731.06633960084582</v>
      </c>
      <c r="N13" s="222">
        <v>500.98384557822448</v>
      </c>
      <c r="O13" s="222">
        <v>605.82145880860821</v>
      </c>
      <c r="P13" s="222">
        <v>754.15578207433589</v>
      </c>
      <c r="Q13" s="222">
        <v>528.54199199396771</v>
      </c>
    </row>
    <row r="14" spans="1:17" ht="11.4" customHeight="1">
      <c r="A14" s="223" t="s">
        <v>519</v>
      </c>
      <c r="B14" s="222">
        <v>0</v>
      </c>
      <c r="C14" s="222">
        <v>0</v>
      </c>
      <c r="D14" s="222">
        <v>0</v>
      </c>
      <c r="E14" s="222">
        <v>0</v>
      </c>
      <c r="F14" s="222">
        <v>0</v>
      </c>
      <c r="G14" s="222">
        <v>0</v>
      </c>
      <c r="H14" s="222">
        <v>0</v>
      </c>
      <c r="I14" s="222">
        <v>0</v>
      </c>
      <c r="J14" s="222">
        <v>0</v>
      </c>
      <c r="K14" s="222">
        <v>0</v>
      </c>
      <c r="L14" s="222">
        <v>0</v>
      </c>
      <c r="M14" s="222">
        <v>0</v>
      </c>
      <c r="N14" s="222">
        <v>0</v>
      </c>
      <c r="O14" s="222">
        <v>0</v>
      </c>
      <c r="P14" s="222">
        <v>0</v>
      </c>
      <c r="Q14" s="222">
        <v>0</v>
      </c>
    </row>
    <row r="15" spans="1:17" ht="11.4" customHeight="1">
      <c r="A15" s="224" t="s">
        <v>520</v>
      </c>
      <c r="B15" s="225">
        <v>1.2091250756850003</v>
      </c>
      <c r="C15" s="225">
        <v>1.1777681188974636</v>
      </c>
      <c r="D15" s="225">
        <v>1.1904839830661407</v>
      </c>
      <c r="E15" s="225">
        <v>1.3403066768243124</v>
      </c>
      <c r="F15" s="225">
        <v>1.9992793441122263</v>
      </c>
      <c r="G15" s="225">
        <v>2.0854499101316324</v>
      </c>
      <c r="H15" s="225">
        <v>1.3356589097948353</v>
      </c>
      <c r="I15" s="225">
        <v>1.2337822322250398</v>
      </c>
      <c r="J15" s="225">
        <v>1.6815504924749831</v>
      </c>
      <c r="K15" s="225">
        <v>1.6655344928052096</v>
      </c>
      <c r="L15" s="225">
        <v>1.8368825886917215</v>
      </c>
      <c r="M15" s="225">
        <v>2.424578035379132</v>
      </c>
      <c r="N15" s="225">
        <v>3.1708266453105169</v>
      </c>
      <c r="O15" s="225">
        <v>3.972640822187484</v>
      </c>
      <c r="P15" s="225">
        <v>8.13267816156233</v>
      </c>
      <c r="Q15" s="225">
        <v>16.727740642129636</v>
      </c>
    </row>
    <row r="17" spans="1:17" ht="11.4" customHeight="1">
      <c r="A17" s="217" t="s">
        <v>521</v>
      </c>
      <c r="B17" s="226">
        <f t="shared" ref="B17:Q17" si="3">B18+B42</f>
        <v>39465.275849225254</v>
      </c>
      <c r="C17" s="226">
        <f t="shared" si="3"/>
        <v>39331.076128118897</v>
      </c>
      <c r="D17" s="226">
        <f t="shared" si="3"/>
        <v>39756.455223983066</v>
      </c>
      <c r="E17" s="226">
        <f t="shared" si="3"/>
        <v>39639.670846676825</v>
      </c>
      <c r="F17" s="226">
        <f t="shared" si="3"/>
        <v>39936.948849344109</v>
      </c>
      <c r="G17" s="226">
        <f t="shared" si="3"/>
        <v>40095.758338520624</v>
      </c>
      <c r="H17" s="226">
        <f t="shared" si="3"/>
        <v>40316.219688909798</v>
      </c>
      <c r="I17" s="226">
        <f t="shared" si="3"/>
        <v>40855.521362232234</v>
      </c>
      <c r="J17" s="226">
        <f t="shared" si="3"/>
        <v>39607.846670492479</v>
      </c>
      <c r="K17" s="226">
        <f t="shared" si="3"/>
        <v>38398.6032044928</v>
      </c>
      <c r="L17" s="226">
        <f t="shared" si="3"/>
        <v>37943.038062062464</v>
      </c>
      <c r="M17" s="226">
        <f t="shared" si="3"/>
        <v>37419.00642700254</v>
      </c>
      <c r="N17" s="226">
        <f t="shared" si="3"/>
        <v>37285.836160187697</v>
      </c>
      <c r="O17" s="226">
        <f t="shared" si="3"/>
        <v>37023.661761972013</v>
      </c>
      <c r="P17" s="226">
        <f t="shared" si="3"/>
        <v>37667.890525584604</v>
      </c>
      <c r="Q17" s="226">
        <f t="shared" si="3"/>
        <v>38189.496069547269</v>
      </c>
    </row>
    <row r="18" spans="1:17" ht="11.4" customHeight="1">
      <c r="A18" s="227" t="s">
        <v>522</v>
      </c>
      <c r="B18" s="228">
        <f t="shared" ref="B18:Q18" si="4">B19+B21+B33</f>
        <v>27693.81961407734</v>
      </c>
      <c r="C18" s="228">
        <f t="shared" si="4"/>
        <v>27160.968029887103</v>
      </c>
      <c r="D18" s="228">
        <f t="shared" si="4"/>
        <v>27405.159609865103</v>
      </c>
      <c r="E18" s="228">
        <f t="shared" si="4"/>
        <v>26810.971114790274</v>
      </c>
      <c r="F18" s="228">
        <f t="shared" si="4"/>
        <v>26765.964545529914</v>
      </c>
      <c r="G18" s="228">
        <f t="shared" si="4"/>
        <v>26420.305992915812</v>
      </c>
      <c r="H18" s="228">
        <f t="shared" si="4"/>
        <v>26627.339854527461</v>
      </c>
      <c r="I18" s="228">
        <f t="shared" si="4"/>
        <v>26195.958662380213</v>
      </c>
      <c r="J18" s="228">
        <f t="shared" si="4"/>
        <v>25846.023092250773</v>
      </c>
      <c r="K18" s="228">
        <f t="shared" si="4"/>
        <v>25185.60322484513</v>
      </c>
      <c r="L18" s="228">
        <f t="shared" si="4"/>
        <v>24521.766847861592</v>
      </c>
      <c r="M18" s="228">
        <f t="shared" si="4"/>
        <v>24173.708749108362</v>
      </c>
      <c r="N18" s="228">
        <f t="shared" si="4"/>
        <v>24003.269643987802</v>
      </c>
      <c r="O18" s="228">
        <f t="shared" si="4"/>
        <v>23881.4582675938</v>
      </c>
      <c r="P18" s="228">
        <f t="shared" si="4"/>
        <v>23974.13951122063</v>
      </c>
      <c r="Q18" s="228">
        <f t="shared" si="4"/>
        <v>24103.702766800889</v>
      </c>
    </row>
    <row r="19" spans="1:17" ht="11.4" customHeight="1">
      <c r="A19" s="229" t="s">
        <v>523</v>
      </c>
      <c r="B19" s="230">
        <v>220.45401237839383</v>
      </c>
      <c r="C19" s="230">
        <v>225.25131841789579</v>
      </c>
      <c r="D19" s="230">
        <v>234.66811403599064</v>
      </c>
      <c r="E19" s="230">
        <v>255.11167391471812</v>
      </c>
      <c r="F19" s="230">
        <v>233.12200370033827</v>
      </c>
      <c r="G19" s="230">
        <v>243.02423518806859</v>
      </c>
      <c r="H19" s="230">
        <v>226.44360356555927</v>
      </c>
      <c r="I19" s="230">
        <v>241.14872305142578</v>
      </c>
      <c r="J19" s="230">
        <v>221.64259832752725</v>
      </c>
      <c r="K19" s="230">
        <v>217.22233313149587</v>
      </c>
      <c r="L19" s="230">
        <v>191.45469964645542</v>
      </c>
      <c r="M19" s="230">
        <v>189.3087288403334</v>
      </c>
      <c r="N19" s="230">
        <v>180.24441334677638</v>
      </c>
      <c r="O19" s="230">
        <v>170.710036045386</v>
      </c>
      <c r="P19" s="230">
        <v>175.19161052544271</v>
      </c>
      <c r="Q19" s="230">
        <v>176.51561605676807</v>
      </c>
    </row>
    <row r="20" spans="1:17" ht="11.4" customHeight="1">
      <c r="A20" s="231" t="s">
        <v>524</v>
      </c>
      <c r="B20" s="232">
        <v>0</v>
      </c>
      <c r="C20" s="232">
        <v>0</v>
      </c>
      <c r="D20" s="232">
        <v>0</v>
      </c>
      <c r="E20" s="232">
        <v>0</v>
      </c>
      <c r="F20" s="232">
        <v>0</v>
      </c>
      <c r="G20" s="232">
        <v>0.51877389518965167</v>
      </c>
      <c r="H20" s="232">
        <v>0.55907702582609409</v>
      </c>
      <c r="I20" s="232">
        <v>0.9854415543695374</v>
      </c>
      <c r="J20" s="232">
        <v>1.3102208943590439</v>
      </c>
      <c r="K20" s="232">
        <v>2.0983137744607712</v>
      </c>
      <c r="L20" s="232">
        <v>3.8607153034193766</v>
      </c>
      <c r="M20" s="232">
        <v>4.1381144856256649</v>
      </c>
      <c r="N20" s="232">
        <v>4.8823256293448791</v>
      </c>
      <c r="O20" s="232">
        <v>5.1423661597997103</v>
      </c>
      <c r="P20" s="232">
        <v>5.3321129228927342</v>
      </c>
      <c r="Q20" s="232">
        <v>5.3535091928770928</v>
      </c>
    </row>
    <row r="21" spans="1:17" ht="11.4" customHeight="1">
      <c r="A21" s="233" t="s">
        <v>525</v>
      </c>
      <c r="B21" s="234">
        <f>B22+B24+B26+B27+B29+B32</f>
        <v>25985.248468436876</v>
      </c>
      <c r="C21" s="234">
        <f t="shared" ref="C21:Q21" si="5">C22+C24+C26+C27+C29+C32</f>
        <v>25461.228227602987</v>
      </c>
      <c r="D21" s="234">
        <f t="shared" si="5"/>
        <v>25696.977927017859</v>
      </c>
      <c r="E21" s="234">
        <f t="shared" si="5"/>
        <v>25078.064805411766</v>
      </c>
      <c r="F21" s="234">
        <f t="shared" si="5"/>
        <v>25074.370869649661</v>
      </c>
      <c r="G21" s="234">
        <f t="shared" si="5"/>
        <v>24736.727551351232</v>
      </c>
      <c r="H21" s="234">
        <f t="shared" si="5"/>
        <v>24944.682704090283</v>
      </c>
      <c r="I21" s="234">
        <f t="shared" si="5"/>
        <v>24534.609906455207</v>
      </c>
      <c r="J21" s="234">
        <f t="shared" si="5"/>
        <v>24234.809895485141</v>
      </c>
      <c r="K21" s="234">
        <f t="shared" si="5"/>
        <v>23656.205790238007</v>
      </c>
      <c r="L21" s="234">
        <f t="shared" si="5"/>
        <v>23069.498577678809</v>
      </c>
      <c r="M21" s="234">
        <f t="shared" si="5"/>
        <v>22771.666221180203</v>
      </c>
      <c r="N21" s="234">
        <f t="shared" si="5"/>
        <v>22647.282556412327</v>
      </c>
      <c r="O21" s="234">
        <f t="shared" si="5"/>
        <v>22517.353659717999</v>
      </c>
      <c r="P21" s="234">
        <f t="shared" si="5"/>
        <v>22624.745097593113</v>
      </c>
      <c r="Q21" s="234">
        <f t="shared" si="5"/>
        <v>22790.76516302313</v>
      </c>
    </row>
    <row r="22" spans="1:17" ht="11.4" customHeight="1">
      <c r="A22" s="235" t="s">
        <v>526</v>
      </c>
      <c r="B22" s="236">
        <v>22459.203371991858</v>
      </c>
      <c r="C22" s="236">
        <v>21760.412624150336</v>
      </c>
      <c r="D22" s="236">
        <v>21627.008004146224</v>
      </c>
      <c r="E22" s="236">
        <v>20660.150836507077</v>
      </c>
      <c r="F22" s="236">
        <v>20171.677701330602</v>
      </c>
      <c r="G22" s="236">
        <v>19370.919466110816</v>
      </c>
      <c r="H22" s="236">
        <v>18804.29415812244</v>
      </c>
      <c r="I22" s="236">
        <v>18322.076061673812</v>
      </c>
      <c r="J22" s="236">
        <v>17294.235714070128</v>
      </c>
      <c r="K22" s="236">
        <v>16396.472762744306</v>
      </c>
      <c r="L22" s="236">
        <v>15505.114194049724</v>
      </c>
      <c r="M22" s="236">
        <v>14773.906745801871</v>
      </c>
      <c r="N22" s="236">
        <v>14149.652643451529</v>
      </c>
      <c r="O22" s="236">
        <v>13481.597181258467</v>
      </c>
      <c r="P22" s="236">
        <v>13197.24240905338</v>
      </c>
      <c r="Q22" s="236">
        <v>12910.594008440035</v>
      </c>
    </row>
    <row r="23" spans="1:17" ht="11.4" customHeight="1">
      <c r="A23" s="237" t="s">
        <v>524</v>
      </c>
      <c r="B23" s="236">
        <v>0</v>
      </c>
      <c r="C23" s="236">
        <v>0</v>
      </c>
      <c r="D23" s="236">
        <v>0</v>
      </c>
      <c r="E23" s="236">
        <v>0</v>
      </c>
      <c r="F23" s="236">
        <v>0</v>
      </c>
      <c r="G23" s="236">
        <v>41.350309515685389</v>
      </c>
      <c r="H23" s="236">
        <v>46.426786560294175</v>
      </c>
      <c r="I23" s="236">
        <v>74.872198720464993</v>
      </c>
      <c r="J23" s="236">
        <v>102.23336648968925</v>
      </c>
      <c r="K23" s="236">
        <v>158.38585358444772</v>
      </c>
      <c r="L23" s="236">
        <v>312.66316136805796</v>
      </c>
      <c r="M23" s="236">
        <v>322.94399676440071</v>
      </c>
      <c r="N23" s="236">
        <v>383.27518986422132</v>
      </c>
      <c r="O23" s="236">
        <v>406.11150188336279</v>
      </c>
      <c r="P23" s="236">
        <v>401.66984357759526</v>
      </c>
      <c r="Q23" s="236">
        <v>391.56299739202319</v>
      </c>
    </row>
    <row r="24" spans="1:17" ht="11.4" customHeight="1">
      <c r="A24" s="235" t="s">
        <v>527</v>
      </c>
      <c r="B24" s="236">
        <v>3510.0555862253495</v>
      </c>
      <c r="C24" s="236">
        <v>3684.2177705389695</v>
      </c>
      <c r="D24" s="236">
        <v>4052.6605913229155</v>
      </c>
      <c r="E24" s="236">
        <v>4399.7399887346082</v>
      </c>
      <c r="F24" s="236">
        <v>4883.7060227858356</v>
      </c>
      <c r="G24" s="236">
        <v>5346.0885367868859</v>
      </c>
      <c r="H24" s="236">
        <v>6118.9264666287154</v>
      </c>
      <c r="I24" s="236">
        <v>6199.8610436081126</v>
      </c>
      <c r="J24" s="236">
        <v>6918.7495556997601</v>
      </c>
      <c r="K24" s="236">
        <v>7239.0004327906354</v>
      </c>
      <c r="L24" s="236">
        <v>7543.4722219228306</v>
      </c>
      <c r="M24" s="236">
        <v>7979.8089657954497</v>
      </c>
      <c r="N24" s="236">
        <v>8482.3341060488601</v>
      </c>
      <c r="O24" s="236">
        <v>9021.2602142748074</v>
      </c>
      <c r="P24" s="236">
        <v>9409.5123290200354</v>
      </c>
      <c r="Q24" s="236">
        <v>9852.0283906228269</v>
      </c>
    </row>
    <row r="25" spans="1:17" ht="11.4" customHeight="1">
      <c r="A25" s="237" t="s">
        <v>524</v>
      </c>
      <c r="B25" s="236">
        <v>0</v>
      </c>
      <c r="C25" s="236">
        <v>0</v>
      </c>
      <c r="D25" s="236">
        <v>0.62830103877034993</v>
      </c>
      <c r="E25" s="236">
        <v>3.633245154195746</v>
      </c>
      <c r="F25" s="236">
        <v>4.1397308671799697</v>
      </c>
      <c r="G25" s="236">
        <v>6.9241291387398149</v>
      </c>
      <c r="H25" s="236">
        <v>39.051540692348091</v>
      </c>
      <c r="I25" s="236">
        <v>77.116798349240852</v>
      </c>
      <c r="J25" s="236">
        <v>221.05518431710061</v>
      </c>
      <c r="K25" s="236">
        <v>278.78898172102606</v>
      </c>
      <c r="L25" s="236">
        <v>285.80211318414024</v>
      </c>
      <c r="M25" s="236">
        <v>263.77425223591183</v>
      </c>
      <c r="N25" s="236">
        <v>187.92235893155885</v>
      </c>
      <c r="O25" s="236">
        <v>237.31643528027863</v>
      </c>
      <c r="P25" s="236">
        <v>296.30786372661862</v>
      </c>
      <c r="Q25" s="236">
        <v>210.55402903235986</v>
      </c>
    </row>
    <row r="26" spans="1:17" ht="11.4" customHeight="1">
      <c r="A26" s="235" t="s">
        <v>528</v>
      </c>
      <c r="B26" s="236">
        <v>15.989510219666389</v>
      </c>
      <c r="C26" s="236">
        <v>16.597832913682936</v>
      </c>
      <c r="D26" s="236">
        <v>17.30933154872028</v>
      </c>
      <c r="E26" s="236">
        <v>18.173980170081464</v>
      </c>
      <c r="F26" s="236">
        <v>18.987145533226212</v>
      </c>
      <c r="G26" s="236">
        <v>19.719548453529072</v>
      </c>
      <c r="H26" s="236">
        <v>21.462079339125992</v>
      </c>
      <c r="I26" s="236">
        <v>12.672801173280746</v>
      </c>
      <c r="J26" s="236">
        <v>21.824625715254882</v>
      </c>
      <c r="K26" s="236">
        <v>20.732594703067107</v>
      </c>
      <c r="L26" s="236">
        <v>20.878087333022691</v>
      </c>
      <c r="M26" s="236">
        <v>17.595253323627603</v>
      </c>
      <c r="N26" s="236">
        <v>14.537385451399857</v>
      </c>
      <c r="O26" s="236">
        <v>12.974302802767639</v>
      </c>
      <c r="P26" s="236">
        <v>11.729071833273593</v>
      </c>
      <c r="Q26" s="236">
        <v>11.437236251436516</v>
      </c>
    </row>
    <row r="27" spans="1:17" ht="11.4" customHeight="1">
      <c r="A27" s="235" t="s">
        <v>529</v>
      </c>
      <c r="B27" s="236">
        <v>0</v>
      </c>
      <c r="C27" s="236">
        <v>0</v>
      </c>
      <c r="D27" s="236">
        <v>0</v>
      </c>
      <c r="E27" s="236">
        <v>0</v>
      </c>
      <c r="F27" s="236">
        <v>0</v>
      </c>
      <c r="G27" s="236">
        <v>0</v>
      </c>
      <c r="H27" s="236">
        <v>0</v>
      </c>
      <c r="I27" s="236">
        <v>0</v>
      </c>
      <c r="J27" s="236">
        <v>0</v>
      </c>
      <c r="K27" s="236">
        <v>0</v>
      </c>
      <c r="L27" s="236">
        <v>0</v>
      </c>
      <c r="M27" s="236">
        <v>0</v>
      </c>
      <c r="N27" s="236">
        <v>0</v>
      </c>
      <c r="O27" s="236">
        <v>0</v>
      </c>
      <c r="P27" s="236">
        <v>0</v>
      </c>
      <c r="Q27" s="236">
        <v>0</v>
      </c>
    </row>
    <row r="28" spans="1:17" ht="11.4" customHeight="1">
      <c r="A28" s="237" t="s">
        <v>530</v>
      </c>
      <c r="B28" s="236">
        <v>0</v>
      </c>
      <c r="C28" s="236">
        <v>0</v>
      </c>
      <c r="D28" s="236">
        <v>0</v>
      </c>
      <c r="E28" s="236">
        <v>0</v>
      </c>
      <c r="F28" s="236">
        <v>0</v>
      </c>
      <c r="G28" s="236">
        <v>0</v>
      </c>
      <c r="H28" s="236">
        <v>0</v>
      </c>
      <c r="I28" s="236">
        <v>0</v>
      </c>
      <c r="J28" s="236">
        <v>0</v>
      </c>
      <c r="K28" s="236">
        <v>0</v>
      </c>
      <c r="L28" s="236">
        <v>0</v>
      </c>
      <c r="M28" s="236">
        <v>0</v>
      </c>
      <c r="N28" s="236">
        <v>0</v>
      </c>
      <c r="O28" s="236">
        <v>0</v>
      </c>
      <c r="P28" s="236">
        <v>0</v>
      </c>
      <c r="Q28" s="236">
        <v>0</v>
      </c>
    </row>
    <row r="29" spans="1:17" ht="11.4" customHeight="1">
      <c r="A29" s="235" t="s">
        <v>531</v>
      </c>
      <c r="B29" s="236">
        <v>0</v>
      </c>
      <c r="C29" s="236">
        <v>0</v>
      </c>
      <c r="D29" s="236">
        <v>0</v>
      </c>
      <c r="E29" s="236">
        <v>0</v>
      </c>
      <c r="F29" s="236">
        <v>0</v>
      </c>
      <c r="G29" s="236">
        <v>0</v>
      </c>
      <c r="H29" s="236">
        <v>0</v>
      </c>
      <c r="I29" s="236">
        <v>0</v>
      </c>
      <c r="J29" s="236">
        <v>0</v>
      </c>
      <c r="K29" s="236">
        <v>0</v>
      </c>
      <c r="L29" s="236">
        <v>0</v>
      </c>
      <c r="M29" s="236">
        <v>0</v>
      </c>
      <c r="N29" s="236">
        <v>0</v>
      </c>
      <c r="O29" s="236">
        <v>1.861484770880811E-2</v>
      </c>
      <c r="P29" s="236">
        <v>2.7507172139869045</v>
      </c>
      <c r="Q29" s="236">
        <v>10.193586679710922</v>
      </c>
    </row>
    <row r="30" spans="1:17" ht="11.4" customHeight="1">
      <c r="A30" s="237" t="s">
        <v>524</v>
      </c>
      <c r="B30" s="236">
        <v>0</v>
      </c>
      <c r="C30" s="236">
        <v>0</v>
      </c>
      <c r="D30" s="236">
        <v>0</v>
      </c>
      <c r="E30" s="236">
        <v>0</v>
      </c>
      <c r="F30" s="236">
        <v>0</v>
      </c>
      <c r="G30" s="236">
        <v>0</v>
      </c>
      <c r="H30" s="236">
        <v>0</v>
      </c>
      <c r="I30" s="236">
        <v>0</v>
      </c>
      <c r="J30" s="236">
        <v>0</v>
      </c>
      <c r="K30" s="236">
        <v>0</v>
      </c>
      <c r="L30" s="236">
        <v>0</v>
      </c>
      <c r="M30" s="236">
        <v>0</v>
      </c>
      <c r="N30" s="236">
        <v>0</v>
      </c>
      <c r="O30" s="236">
        <v>3.6397803227072878E-4</v>
      </c>
      <c r="P30" s="236">
        <v>5.416658509385909E-2</v>
      </c>
      <c r="Q30" s="236">
        <v>0.19953755777051951</v>
      </c>
    </row>
    <row r="31" spans="1:17" ht="11.4" customHeight="1">
      <c r="A31" s="237" t="s">
        <v>532</v>
      </c>
      <c r="B31" s="236">
        <v>0</v>
      </c>
      <c r="C31" s="236">
        <v>0</v>
      </c>
      <c r="D31" s="236">
        <v>0</v>
      </c>
      <c r="E31" s="236">
        <v>0</v>
      </c>
      <c r="F31" s="236">
        <v>0</v>
      </c>
      <c r="G31" s="236">
        <v>0</v>
      </c>
      <c r="H31" s="236">
        <v>0</v>
      </c>
      <c r="I31" s="236">
        <v>0</v>
      </c>
      <c r="J31" s="236">
        <v>0</v>
      </c>
      <c r="K31" s="236">
        <v>0</v>
      </c>
      <c r="L31" s="236">
        <v>0</v>
      </c>
      <c r="M31" s="236">
        <v>0</v>
      </c>
      <c r="N31" s="236">
        <v>0</v>
      </c>
      <c r="O31" s="236">
        <v>6.5319463599308337E-3</v>
      </c>
      <c r="P31" s="236">
        <v>0.97102285708111935</v>
      </c>
      <c r="Q31" s="236">
        <v>3.614445098486252</v>
      </c>
    </row>
    <row r="32" spans="1:17" ht="11.4" customHeight="1">
      <c r="A32" s="235" t="s">
        <v>533</v>
      </c>
      <c r="B32" s="236">
        <v>0</v>
      </c>
      <c r="C32" s="236">
        <v>0</v>
      </c>
      <c r="D32" s="236">
        <v>0</v>
      </c>
      <c r="E32" s="236">
        <v>0</v>
      </c>
      <c r="F32" s="236">
        <v>0</v>
      </c>
      <c r="G32" s="236">
        <v>0</v>
      </c>
      <c r="H32" s="236">
        <v>0</v>
      </c>
      <c r="I32" s="236">
        <v>0</v>
      </c>
      <c r="J32" s="236">
        <v>0</v>
      </c>
      <c r="K32" s="236">
        <v>0</v>
      </c>
      <c r="L32" s="236">
        <v>3.4074373234184156E-2</v>
      </c>
      <c r="M32" s="236">
        <v>0.35525625925762744</v>
      </c>
      <c r="N32" s="236">
        <v>0.75842146053784332</v>
      </c>
      <c r="O32" s="236">
        <v>1.5033465342492787</v>
      </c>
      <c r="P32" s="236">
        <v>3.5105704724325837</v>
      </c>
      <c r="Q32" s="236">
        <v>6.5119410291194741</v>
      </c>
    </row>
    <row r="33" spans="1:17" ht="11.4" customHeight="1">
      <c r="A33" s="233" t="s">
        <v>534</v>
      </c>
      <c r="B33" s="234">
        <f>B34+B36+B38+B39+B41</f>
        <v>1488.1171332620675</v>
      </c>
      <c r="C33" s="234">
        <f t="shared" ref="C33:Q33" si="6">C34+C36+C38+C39+C41</f>
        <v>1474.4884838662199</v>
      </c>
      <c r="D33" s="234">
        <f t="shared" si="6"/>
        <v>1473.5135688112532</v>
      </c>
      <c r="E33" s="234">
        <f t="shared" si="6"/>
        <v>1477.79463546379</v>
      </c>
      <c r="F33" s="234">
        <f t="shared" si="6"/>
        <v>1458.4716721799166</v>
      </c>
      <c r="G33" s="234">
        <f t="shared" si="6"/>
        <v>1440.5542063765081</v>
      </c>
      <c r="H33" s="234">
        <f t="shared" si="6"/>
        <v>1456.2135468716181</v>
      </c>
      <c r="I33" s="234">
        <f t="shared" si="6"/>
        <v>1420.2000328735826</v>
      </c>
      <c r="J33" s="234">
        <f t="shared" si="6"/>
        <v>1389.570598438105</v>
      </c>
      <c r="K33" s="234">
        <f t="shared" si="6"/>
        <v>1312.1751014756248</v>
      </c>
      <c r="L33" s="234">
        <f t="shared" si="6"/>
        <v>1260.8135705363279</v>
      </c>
      <c r="M33" s="234">
        <f t="shared" si="6"/>
        <v>1212.7337990878268</v>
      </c>
      <c r="N33" s="234">
        <f t="shared" si="6"/>
        <v>1175.7426742286975</v>
      </c>
      <c r="O33" s="234">
        <f t="shared" si="6"/>
        <v>1193.3945718304176</v>
      </c>
      <c r="P33" s="234">
        <f t="shared" si="6"/>
        <v>1174.2028031020736</v>
      </c>
      <c r="Q33" s="234">
        <f t="shared" si="6"/>
        <v>1136.4219877209891</v>
      </c>
    </row>
    <row r="34" spans="1:17" ht="11.4" customHeight="1">
      <c r="A34" s="235" t="s">
        <v>526</v>
      </c>
      <c r="B34" s="238">
        <v>0</v>
      </c>
      <c r="C34" s="238">
        <v>0</v>
      </c>
      <c r="D34" s="238">
        <v>0</v>
      </c>
      <c r="E34" s="238">
        <v>0</v>
      </c>
      <c r="F34" s="238">
        <v>0</v>
      </c>
      <c r="G34" s="238">
        <v>0</v>
      </c>
      <c r="H34" s="238">
        <v>0</v>
      </c>
      <c r="I34" s="238">
        <v>0</v>
      </c>
      <c r="J34" s="238">
        <v>0</v>
      </c>
      <c r="K34" s="238">
        <v>0</v>
      </c>
      <c r="L34" s="238">
        <v>0</v>
      </c>
      <c r="M34" s="238">
        <v>0</v>
      </c>
      <c r="N34" s="238">
        <v>0</v>
      </c>
      <c r="O34" s="238">
        <v>0</v>
      </c>
      <c r="P34" s="238">
        <v>0</v>
      </c>
      <c r="Q34" s="238">
        <v>0</v>
      </c>
    </row>
    <row r="35" spans="1:17" ht="11.4" customHeight="1">
      <c r="A35" s="237" t="s">
        <v>524</v>
      </c>
      <c r="B35" s="238">
        <v>0</v>
      </c>
      <c r="C35" s="238">
        <v>0</v>
      </c>
      <c r="D35" s="238">
        <v>0</v>
      </c>
      <c r="E35" s="238">
        <v>0</v>
      </c>
      <c r="F35" s="238">
        <v>0</v>
      </c>
      <c r="G35" s="238">
        <v>0</v>
      </c>
      <c r="H35" s="238">
        <v>0</v>
      </c>
      <c r="I35" s="238">
        <v>0</v>
      </c>
      <c r="J35" s="238">
        <v>0</v>
      </c>
      <c r="K35" s="238">
        <v>0</v>
      </c>
      <c r="L35" s="238">
        <v>0</v>
      </c>
      <c r="M35" s="238">
        <v>0</v>
      </c>
      <c r="N35" s="238">
        <v>0</v>
      </c>
      <c r="O35" s="238">
        <v>0</v>
      </c>
      <c r="P35" s="238">
        <v>0</v>
      </c>
      <c r="Q35" s="238">
        <v>0</v>
      </c>
    </row>
    <row r="36" spans="1:17" ht="11.4" customHeight="1">
      <c r="A36" s="235" t="s">
        <v>527</v>
      </c>
      <c r="B36" s="238">
        <v>1486.9080081863824</v>
      </c>
      <c r="C36" s="238">
        <v>1473.3107157473223</v>
      </c>
      <c r="D36" s="238">
        <v>1472.3230848281871</v>
      </c>
      <c r="E36" s="238">
        <v>1476.4543287869656</v>
      </c>
      <c r="F36" s="238">
        <v>1457.0684129665685</v>
      </c>
      <c r="G36" s="238">
        <v>1439.0765726761654</v>
      </c>
      <c r="H36" s="238">
        <v>1455.4873262915173</v>
      </c>
      <c r="I36" s="238">
        <v>1419.577221459301</v>
      </c>
      <c r="J36" s="238">
        <v>1388.500815592442</v>
      </c>
      <c r="K36" s="238">
        <v>1311.1018367311071</v>
      </c>
      <c r="L36" s="238">
        <v>1259.6080119242072</v>
      </c>
      <c r="M36" s="238">
        <v>1211.4099183652265</v>
      </c>
      <c r="N36" s="238">
        <v>1174.2432244935737</v>
      </c>
      <c r="O36" s="238">
        <v>1192.329564420678</v>
      </c>
      <c r="P36" s="238">
        <v>1173.1946273027738</v>
      </c>
      <c r="Q36" s="238">
        <v>1133.630980920896</v>
      </c>
    </row>
    <row r="37" spans="1:17" ht="11.4" customHeight="1">
      <c r="A37" s="237" t="s">
        <v>524</v>
      </c>
      <c r="B37" s="238">
        <v>0</v>
      </c>
      <c r="C37" s="238">
        <v>0</v>
      </c>
      <c r="D37" s="238">
        <v>0.22826044835428633</v>
      </c>
      <c r="E37" s="238">
        <v>1.21923580693217</v>
      </c>
      <c r="F37" s="238">
        <v>1.2351011827099792</v>
      </c>
      <c r="G37" s="238">
        <v>1.8633813296185042</v>
      </c>
      <c r="H37" s="238">
        <v>9.2884684661461812</v>
      </c>
      <c r="I37" s="238">
        <v>17.656067594791764</v>
      </c>
      <c r="J37" s="238">
        <v>44.360670073643533</v>
      </c>
      <c r="K37" s="238">
        <v>50.488638956677086</v>
      </c>
      <c r="L37" s="238">
        <v>47.705803903561232</v>
      </c>
      <c r="M37" s="238">
        <v>40.025979882160392</v>
      </c>
      <c r="N37" s="238">
        <v>25.991841067559019</v>
      </c>
      <c r="O37" s="238">
        <v>31.33967153835777</v>
      </c>
      <c r="P37" s="238">
        <v>36.920549911845107</v>
      </c>
      <c r="Q37" s="238">
        <v>24.206629682309885</v>
      </c>
    </row>
    <row r="38" spans="1:17" ht="11.4" customHeight="1">
      <c r="A38" s="235" t="s">
        <v>528</v>
      </c>
      <c r="B38" s="238">
        <v>0</v>
      </c>
      <c r="C38" s="238">
        <v>0</v>
      </c>
      <c r="D38" s="238">
        <v>0</v>
      </c>
      <c r="E38" s="238">
        <v>0</v>
      </c>
      <c r="F38" s="238">
        <v>0</v>
      </c>
      <c r="G38" s="238">
        <v>0</v>
      </c>
      <c r="H38" s="238">
        <v>0</v>
      </c>
      <c r="I38" s="238">
        <v>0</v>
      </c>
      <c r="J38" s="238">
        <v>0</v>
      </c>
      <c r="K38" s="238">
        <v>0</v>
      </c>
      <c r="L38" s="238">
        <v>0</v>
      </c>
      <c r="M38" s="238">
        <v>0</v>
      </c>
      <c r="N38" s="238">
        <v>0</v>
      </c>
      <c r="O38" s="238">
        <v>0</v>
      </c>
      <c r="P38" s="238">
        <v>0</v>
      </c>
      <c r="Q38" s="238">
        <v>0</v>
      </c>
    </row>
    <row r="39" spans="1:17" ht="11.4" customHeight="1">
      <c r="A39" s="235" t="s">
        <v>529</v>
      </c>
      <c r="B39" s="238">
        <v>0</v>
      </c>
      <c r="C39" s="238">
        <v>0</v>
      </c>
      <c r="D39" s="238">
        <v>0</v>
      </c>
      <c r="E39" s="238">
        <v>0</v>
      </c>
      <c r="F39" s="238">
        <v>0</v>
      </c>
      <c r="G39" s="238">
        <v>0</v>
      </c>
      <c r="H39" s="238">
        <v>0</v>
      </c>
      <c r="I39" s="238">
        <v>0</v>
      </c>
      <c r="J39" s="238">
        <v>0</v>
      </c>
      <c r="K39" s="238">
        <v>0</v>
      </c>
      <c r="L39" s="238">
        <v>0</v>
      </c>
      <c r="M39" s="238">
        <v>0</v>
      </c>
      <c r="N39" s="238">
        <v>0</v>
      </c>
      <c r="O39" s="238">
        <v>0</v>
      </c>
      <c r="P39" s="238">
        <v>0</v>
      </c>
      <c r="Q39" s="238">
        <v>0</v>
      </c>
    </row>
    <row r="40" spans="1:17" ht="11.4" customHeight="1">
      <c r="A40" s="237" t="s">
        <v>530</v>
      </c>
      <c r="B40" s="238">
        <v>0</v>
      </c>
      <c r="C40" s="238">
        <v>0</v>
      </c>
      <c r="D40" s="238">
        <v>0</v>
      </c>
      <c r="E40" s="238">
        <v>0</v>
      </c>
      <c r="F40" s="238">
        <v>0</v>
      </c>
      <c r="G40" s="238">
        <v>0</v>
      </c>
      <c r="H40" s="238">
        <v>0</v>
      </c>
      <c r="I40" s="238">
        <v>0</v>
      </c>
      <c r="J40" s="238">
        <v>0</v>
      </c>
      <c r="K40" s="238">
        <v>0</v>
      </c>
      <c r="L40" s="238">
        <v>0</v>
      </c>
      <c r="M40" s="238">
        <v>0</v>
      </c>
      <c r="N40" s="238">
        <v>0</v>
      </c>
      <c r="O40" s="238">
        <v>0</v>
      </c>
      <c r="P40" s="238">
        <v>0</v>
      </c>
      <c r="Q40" s="238">
        <v>0</v>
      </c>
    </row>
    <row r="41" spans="1:17" ht="11.4" customHeight="1">
      <c r="A41" s="235" t="s">
        <v>533</v>
      </c>
      <c r="B41" s="238">
        <v>1.2091250756850003</v>
      </c>
      <c r="C41" s="238">
        <v>1.1777681188974636</v>
      </c>
      <c r="D41" s="238">
        <v>1.1904839830661407</v>
      </c>
      <c r="E41" s="238">
        <v>1.3403066768243124</v>
      </c>
      <c r="F41" s="238">
        <v>1.4032592133480848</v>
      </c>
      <c r="G41" s="238">
        <v>1.4776337003426239</v>
      </c>
      <c r="H41" s="238">
        <v>0.72622058010064261</v>
      </c>
      <c r="I41" s="238">
        <v>0.62281141428154418</v>
      </c>
      <c r="J41" s="238">
        <v>1.0697828456630838</v>
      </c>
      <c r="K41" s="238">
        <v>1.0732647445176982</v>
      </c>
      <c r="L41" s="238">
        <v>1.2055586121208395</v>
      </c>
      <c r="M41" s="238">
        <v>1.3238807226003322</v>
      </c>
      <c r="N41" s="238">
        <v>1.4994497351236884</v>
      </c>
      <c r="O41" s="238">
        <v>1.0650074097396207</v>
      </c>
      <c r="P41" s="238">
        <v>1.0081757992997848</v>
      </c>
      <c r="Q41" s="238">
        <v>2.7910068000932022</v>
      </c>
    </row>
    <row r="42" spans="1:17" ht="11.4" customHeight="1">
      <c r="A42" s="227" t="s">
        <v>535</v>
      </c>
      <c r="B42" s="228">
        <f t="shared" ref="B42:Q42" si="7">B43+B52</f>
        <v>11771.456235147914</v>
      </c>
      <c r="C42" s="228">
        <f t="shared" si="7"/>
        <v>12170.108098231794</v>
      </c>
      <c r="D42" s="228">
        <f t="shared" si="7"/>
        <v>12351.29561411796</v>
      </c>
      <c r="E42" s="228">
        <f t="shared" si="7"/>
        <v>12828.699731886549</v>
      </c>
      <c r="F42" s="228">
        <f t="shared" si="7"/>
        <v>13170.984303814195</v>
      </c>
      <c r="G42" s="228">
        <f t="shared" si="7"/>
        <v>13675.452345604814</v>
      </c>
      <c r="H42" s="228">
        <f t="shared" si="7"/>
        <v>13688.879834382336</v>
      </c>
      <c r="I42" s="228">
        <f t="shared" si="7"/>
        <v>14659.562699852017</v>
      </c>
      <c r="J42" s="228">
        <f t="shared" si="7"/>
        <v>13761.823578241703</v>
      </c>
      <c r="K42" s="228">
        <f t="shared" si="7"/>
        <v>13212.999979647673</v>
      </c>
      <c r="L42" s="228">
        <f t="shared" si="7"/>
        <v>13421.271214200875</v>
      </c>
      <c r="M42" s="228">
        <f t="shared" si="7"/>
        <v>13245.297677894176</v>
      </c>
      <c r="N42" s="228">
        <f t="shared" si="7"/>
        <v>13282.566516199895</v>
      </c>
      <c r="O42" s="228">
        <f t="shared" si="7"/>
        <v>13142.203494378215</v>
      </c>
      <c r="P42" s="228">
        <f t="shared" si="7"/>
        <v>13693.75101436397</v>
      </c>
      <c r="Q42" s="228">
        <f t="shared" si="7"/>
        <v>14085.793302746377</v>
      </c>
    </row>
    <row r="43" spans="1:17" ht="11.4" customHeight="1">
      <c r="A43" s="239" t="s">
        <v>536</v>
      </c>
      <c r="B43" s="240">
        <f>B44+B46+B48+B49+B51</f>
        <v>4694.2993604664462</v>
      </c>
      <c r="C43" s="240">
        <f t="shared" ref="C43:Q43" si="8">C44+C46+C48+C49+C51</f>
        <v>4700.4888515629445</v>
      </c>
      <c r="D43" s="240">
        <f t="shared" si="8"/>
        <v>4763.4875277784695</v>
      </c>
      <c r="E43" s="240">
        <f t="shared" si="8"/>
        <v>4897.6151894365521</v>
      </c>
      <c r="F43" s="240">
        <f t="shared" si="8"/>
        <v>5047.32436630148</v>
      </c>
      <c r="G43" s="240">
        <f t="shared" si="8"/>
        <v>5202.5049347445402</v>
      </c>
      <c r="H43" s="240">
        <f t="shared" si="8"/>
        <v>5336.4962849890571</v>
      </c>
      <c r="I43" s="240">
        <f t="shared" si="8"/>
        <v>5519.7054680344709</v>
      </c>
      <c r="J43" s="240">
        <f t="shared" si="8"/>
        <v>5228.682516987401</v>
      </c>
      <c r="K43" s="240">
        <f t="shared" si="8"/>
        <v>5150.2077136452326</v>
      </c>
      <c r="L43" s="240">
        <f t="shared" si="8"/>
        <v>5256.8076302984828</v>
      </c>
      <c r="M43" s="240">
        <f t="shared" si="8"/>
        <v>5290.6490439082099</v>
      </c>
      <c r="N43" s="240">
        <f t="shared" si="8"/>
        <v>5344.5760779775837</v>
      </c>
      <c r="O43" s="240">
        <f t="shared" si="8"/>
        <v>5409.499123493054</v>
      </c>
      <c r="P43" s="240">
        <f t="shared" si="8"/>
        <v>5644.794033237773</v>
      </c>
      <c r="Q43" s="240">
        <f t="shared" si="8"/>
        <v>5883.3931608002886</v>
      </c>
    </row>
    <row r="44" spans="1:17" ht="11.4" customHeight="1">
      <c r="A44" s="235" t="s">
        <v>526</v>
      </c>
      <c r="B44" s="236">
        <v>487.80330037912455</v>
      </c>
      <c r="C44" s="236">
        <v>463.33915743176692</v>
      </c>
      <c r="D44" s="236">
        <v>453.17520181778468</v>
      </c>
      <c r="E44" s="236">
        <v>445.11142957820192</v>
      </c>
      <c r="F44" s="236">
        <v>418.05990496906145</v>
      </c>
      <c r="G44" s="236">
        <v>403.95903466562055</v>
      </c>
      <c r="H44" s="236">
        <v>367.4832983119997</v>
      </c>
      <c r="I44" s="236">
        <v>328.50043527476743</v>
      </c>
      <c r="J44" s="236">
        <v>264.1640276023474</v>
      </c>
      <c r="K44" s="236">
        <v>233.81063412419655</v>
      </c>
      <c r="L44" s="236">
        <v>222.41882140941669</v>
      </c>
      <c r="M44" s="236">
        <v>219.46798177783023</v>
      </c>
      <c r="N44" s="236">
        <v>217.59447756261827</v>
      </c>
      <c r="O44" s="236">
        <v>215.48403537758008</v>
      </c>
      <c r="P44" s="236">
        <v>224.73012251194891</v>
      </c>
      <c r="Q44" s="236">
        <v>236.68364708536055</v>
      </c>
    </row>
    <row r="45" spans="1:17" ht="11.4" customHeight="1">
      <c r="A45" s="237" t="s">
        <v>524</v>
      </c>
      <c r="B45" s="236">
        <v>0</v>
      </c>
      <c r="C45" s="236">
        <v>0</v>
      </c>
      <c r="D45" s="236">
        <v>0</v>
      </c>
      <c r="E45" s="236">
        <v>0</v>
      </c>
      <c r="F45" s="236">
        <v>0</v>
      </c>
      <c r="G45" s="236">
        <v>0.86231482941757298</v>
      </c>
      <c r="H45" s="236">
        <v>0.90729641387973403</v>
      </c>
      <c r="I45" s="236">
        <v>1.3423997251654636</v>
      </c>
      <c r="J45" s="236">
        <v>1.561582615951713</v>
      </c>
      <c r="K45" s="236">
        <v>2.2585526410915526</v>
      </c>
      <c r="L45" s="236">
        <v>4.4851118785254336</v>
      </c>
      <c r="M45" s="236">
        <v>4.7973679823915996</v>
      </c>
      <c r="N45" s="236">
        <v>5.8940361860978614</v>
      </c>
      <c r="O45" s="236">
        <v>6.4911111096487968</v>
      </c>
      <c r="P45" s="236">
        <v>6.8398617194925873</v>
      </c>
      <c r="Q45" s="236">
        <v>7.1783341824422777</v>
      </c>
    </row>
    <row r="46" spans="1:17" ht="11.4" customHeight="1">
      <c r="A46" s="235" t="s">
        <v>527</v>
      </c>
      <c r="B46" s="236">
        <v>4198.3143934413438</v>
      </c>
      <c r="C46" s="236">
        <v>4195.5471370448613</v>
      </c>
      <c r="D46" s="236">
        <v>4233.1216075094053</v>
      </c>
      <c r="E46" s="236">
        <v>4356.378480028432</v>
      </c>
      <c r="F46" s="236">
        <v>4522.1480867348801</v>
      </c>
      <c r="G46" s="236">
        <v>4682.7829577461507</v>
      </c>
      <c r="H46" s="236">
        <v>4848.4653876864895</v>
      </c>
      <c r="I46" s="236">
        <v>5069.7652331150402</v>
      </c>
      <c r="J46" s="236">
        <v>4848.6327574534962</v>
      </c>
      <c r="K46" s="236">
        <v>4819.047824475816</v>
      </c>
      <c r="L46" s="236">
        <v>4938.4715665357107</v>
      </c>
      <c r="M46" s="236">
        <v>4980.2869790764835</v>
      </c>
      <c r="N46" s="236">
        <v>5038.5687113288559</v>
      </c>
      <c r="O46" s="236">
        <v>5102.4105955814266</v>
      </c>
      <c r="P46" s="236">
        <v>5332.537944470253</v>
      </c>
      <c r="Q46" s="236">
        <v>5564.3155467970182</v>
      </c>
    </row>
    <row r="47" spans="1:17" ht="11.4" customHeight="1">
      <c r="A47" s="237" t="s">
        <v>524</v>
      </c>
      <c r="B47" s="236">
        <v>0</v>
      </c>
      <c r="C47" s="236">
        <v>0</v>
      </c>
      <c r="D47" s="236">
        <v>0.65627867009982477</v>
      </c>
      <c r="E47" s="236">
        <v>3.5974378129008708</v>
      </c>
      <c r="F47" s="236">
        <v>3.8332520289451031</v>
      </c>
      <c r="G47" s="236">
        <v>6.0612082975361679</v>
      </c>
      <c r="H47" s="236">
        <v>30.938368357293768</v>
      </c>
      <c r="I47" s="236">
        <v>63.047819785169921</v>
      </c>
      <c r="J47" s="236">
        <v>154.89279736808029</v>
      </c>
      <c r="K47" s="236">
        <v>185.54123642740586</v>
      </c>
      <c r="L47" s="236">
        <v>186.90539422822178</v>
      </c>
      <c r="M47" s="236">
        <v>164.40986159784777</v>
      </c>
      <c r="N47" s="236">
        <v>111.32549110862242</v>
      </c>
      <c r="O47" s="236">
        <v>133.88051494436559</v>
      </c>
      <c r="P47" s="236">
        <v>167.59180080692445</v>
      </c>
      <c r="Q47" s="236">
        <v>118.60589495004368</v>
      </c>
    </row>
    <row r="48" spans="1:17" ht="11.4" customHeight="1">
      <c r="A48" s="235" t="s">
        <v>528</v>
      </c>
      <c r="B48" s="236">
        <v>8.1816666459784706</v>
      </c>
      <c r="C48" s="236">
        <v>41.602557086317063</v>
      </c>
      <c r="D48" s="236">
        <v>77.190718451279722</v>
      </c>
      <c r="E48" s="236">
        <v>96.12527982991854</v>
      </c>
      <c r="F48" s="236">
        <v>106.52035446677378</v>
      </c>
      <c r="G48" s="236">
        <v>115.15512612297967</v>
      </c>
      <c r="H48" s="236">
        <v>119.938160660874</v>
      </c>
      <c r="I48" s="236">
        <v>120.82882882671926</v>
      </c>
      <c r="J48" s="236">
        <v>115.27396428474512</v>
      </c>
      <c r="K48" s="236">
        <v>96.756985296932896</v>
      </c>
      <c r="L48" s="236">
        <v>95.319992750019097</v>
      </c>
      <c r="M48" s="236">
        <v>90.148642000374821</v>
      </c>
      <c r="N48" s="236">
        <v>87.499933636460142</v>
      </c>
      <c r="O48" s="236">
        <v>90.206737602208776</v>
      </c>
      <c r="P48" s="236">
        <v>84.88305722282179</v>
      </c>
      <c r="Q48" s="236">
        <v>78.583619203479188</v>
      </c>
    </row>
    <row r="49" spans="1:17" ht="11.4" customHeight="1">
      <c r="A49" s="235" t="s">
        <v>529</v>
      </c>
      <c r="B49" s="236">
        <v>0</v>
      </c>
      <c r="C49" s="236">
        <v>0</v>
      </c>
      <c r="D49" s="236">
        <v>0</v>
      </c>
      <c r="E49" s="236">
        <v>0</v>
      </c>
      <c r="F49" s="236">
        <v>0</v>
      </c>
      <c r="G49" s="236">
        <v>0</v>
      </c>
      <c r="H49" s="236">
        <v>0</v>
      </c>
      <c r="I49" s="236">
        <v>0</v>
      </c>
      <c r="J49" s="236">
        <v>0</v>
      </c>
      <c r="K49" s="236">
        <v>0</v>
      </c>
      <c r="L49" s="236">
        <v>0</v>
      </c>
      <c r="M49" s="236">
        <v>0</v>
      </c>
      <c r="N49" s="236">
        <v>0</v>
      </c>
      <c r="O49" s="236">
        <v>0</v>
      </c>
      <c r="P49" s="236">
        <v>0</v>
      </c>
      <c r="Q49" s="236">
        <v>0</v>
      </c>
    </row>
    <row r="50" spans="1:17" ht="11.4" customHeight="1">
      <c r="A50" s="237" t="s">
        <v>530</v>
      </c>
      <c r="B50" s="236">
        <v>0</v>
      </c>
      <c r="C50" s="236">
        <v>0</v>
      </c>
      <c r="D50" s="236">
        <v>0</v>
      </c>
      <c r="E50" s="236">
        <v>0</v>
      </c>
      <c r="F50" s="236">
        <v>0</v>
      </c>
      <c r="G50" s="236">
        <v>0</v>
      </c>
      <c r="H50" s="236">
        <v>0</v>
      </c>
      <c r="I50" s="236">
        <v>0</v>
      </c>
      <c r="J50" s="236">
        <v>0</v>
      </c>
      <c r="K50" s="236">
        <v>0</v>
      </c>
      <c r="L50" s="236">
        <v>0</v>
      </c>
      <c r="M50" s="236">
        <v>0</v>
      </c>
      <c r="N50" s="236">
        <v>0</v>
      </c>
      <c r="O50" s="236">
        <v>0</v>
      </c>
      <c r="P50" s="236">
        <v>0</v>
      </c>
      <c r="Q50" s="236">
        <v>0</v>
      </c>
    </row>
    <row r="51" spans="1:17" ht="11.4" customHeight="1">
      <c r="A51" s="235" t="s">
        <v>533</v>
      </c>
      <c r="B51" s="236">
        <v>0</v>
      </c>
      <c r="C51" s="236">
        <v>0</v>
      </c>
      <c r="D51" s="236">
        <v>0</v>
      </c>
      <c r="E51" s="236">
        <v>0</v>
      </c>
      <c r="F51" s="236">
        <v>0.59602013076414162</v>
      </c>
      <c r="G51" s="236">
        <v>0.60781620978900863</v>
      </c>
      <c r="H51" s="236">
        <v>0.60943832969419265</v>
      </c>
      <c r="I51" s="236">
        <v>0.61097081794349561</v>
      </c>
      <c r="J51" s="236">
        <v>0.61176764681189921</v>
      </c>
      <c r="K51" s="236">
        <v>0.59226974828751155</v>
      </c>
      <c r="L51" s="236">
        <v>0.59724960333669797</v>
      </c>
      <c r="M51" s="236">
        <v>0.7454410535211724</v>
      </c>
      <c r="N51" s="236">
        <v>0.91295544964898523</v>
      </c>
      <c r="O51" s="236">
        <v>1.3977549318386542</v>
      </c>
      <c r="P51" s="236">
        <v>2.6429090327488423</v>
      </c>
      <c r="Q51" s="236">
        <v>3.8103477144307067</v>
      </c>
    </row>
    <row r="52" spans="1:17" ht="11.4" customHeight="1">
      <c r="A52" s="233" t="s">
        <v>537</v>
      </c>
      <c r="B52" s="234">
        <f>B53+B55</f>
        <v>7077.1568746814683</v>
      </c>
      <c r="C52" s="234">
        <f t="shared" ref="C52:Q52" si="9">C53+C55</f>
        <v>7469.6192466688499</v>
      </c>
      <c r="D52" s="234">
        <f t="shared" si="9"/>
        <v>7587.8080863394907</v>
      </c>
      <c r="E52" s="234">
        <f t="shared" si="9"/>
        <v>7931.0845424499967</v>
      </c>
      <c r="F52" s="234">
        <f t="shared" si="9"/>
        <v>8123.6599375127162</v>
      </c>
      <c r="G52" s="234">
        <f t="shared" si="9"/>
        <v>8472.9474108602735</v>
      </c>
      <c r="H52" s="234">
        <f t="shared" si="9"/>
        <v>8352.3835493932802</v>
      </c>
      <c r="I52" s="234">
        <f t="shared" si="9"/>
        <v>9139.8572318175447</v>
      </c>
      <c r="J52" s="234">
        <f t="shared" si="9"/>
        <v>8533.1410612543023</v>
      </c>
      <c r="K52" s="234">
        <f t="shared" si="9"/>
        <v>8062.7922660024406</v>
      </c>
      <c r="L52" s="234">
        <f t="shared" si="9"/>
        <v>8164.4635839023913</v>
      </c>
      <c r="M52" s="234">
        <f t="shared" si="9"/>
        <v>7954.6486339859657</v>
      </c>
      <c r="N52" s="234">
        <f t="shared" si="9"/>
        <v>7937.9904382223112</v>
      </c>
      <c r="O52" s="234">
        <f t="shared" si="9"/>
        <v>7732.7043708851606</v>
      </c>
      <c r="P52" s="234">
        <f t="shared" si="9"/>
        <v>8048.9569811261981</v>
      </c>
      <c r="Q52" s="234">
        <f t="shared" si="9"/>
        <v>8202.4001419460874</v>
      </c>
    </row>
    <row r="53" spans="1:17" ht="11.4" customHeight="1">
      <c r="A53" s="223" t="s">
        <v>538</v>
      </c>
      <c r="B53" s="238">
        <v>6676.9530317342815</v>
      </c>
      <c r="C53" s="238">
        <v>7055.0567274036775</v>
      </c>
      <c r="D53" s="238">
        <v>7162.7579690393204</v>
      </c>
      <c r="E53" s="238">
        <v>7506.1126890934256</v>
      </c>
      <c r="F53" s="238">
        <v>7625.2425712809672</v>
      </c>
      <c r="G53" s="238">
        <v>7950.5071708975584</v>
      </c>
      <c r="H53" s="238">
        <v>7825.015722741673</v>
      </c>
      <c r="I53" s="238">
        <v>8559.7541136734817</v>
      </c>
      <c r="J53" s="238">
        <v>7977.7859848840744</v>
      </c>
      <c r="K53" s="238">
        <v>7583.1201655612194</v>
      </c>
      <c r="L53" s="238">
        <v>7675.1551027911828</v>
      </c>
      <c r="M53" s="238">
        <v>7366.059858450134</v>
      </c>
      <c r="N53" s="238">
        <v>7221.2208180371599</v>
      </c>
      <c r="O53" s="238">
        <v>7014.0325731150406</v>
      </c>
      <c r="P53" s="238">
        <v>7273.7060739995659</v>
      </c>
      <c r="Q53" s="238">
        <v>7403.7618309283125</v>
      </c>
    </row>
    <row r="54" spans="1:17" ht="11.4" customHeight="1">
      <c r="A54" s="237" t="s">
        <v>524</v>
      </c>
      <c r="B54" s="238">
        <v>0</v>
      </c>
      <c r="C54" s="238">
        <v>0</v>
      </c>
      <c r="D54" s="238">
        <v>1.1104725330425322</v>
      </c>
      <c r="E54" s="238">
        <v>6.1984452772945229</v>
      </c>
      <c r="F54" s="238">
        <v>6.4636265767815351</v>
      </c>
      <c r="G54" s="238">
        <v>10.295143219788676</v>
      </c>
      <c r="H54" s="238">
        <v>49.937367883090417</v>
      </c>
      <c r="I54" s="238">
        <v>106.46423624152042</v>
      </c>
      <c r="J54" s="238">
        <v>254.88245690018485</v>
      </c>
      <c r="K54" s="238">
        <v>292.02235799899842</v>
      </c>
      <c r="L54" s="238">
        <v>290.7113501375793</v>
      </c>
      <c r="M54" s="238">
        <v>243.4067085104725</v>
      </c>
      <c r="N54" s="238">
        <v>159.87514179908828</v>
      </c>
      <c r="O54" s="238">
        <v>184.39169535910355</v>
      </c>
      <c r="P54" s="238">
        <v>228.93506094562065</v>
      </c>
      <c r="Q54" s="238">
        <v>158.11923358698223</v>
      </c>
    </row>
    <row r="55" spans="1:17" ht="11.4" customHeight="1">
      <c r="A55" s="223" t="s">
        <v>539</v>
      </c>
      <c r="B55" s="238">
        <v>400.20384294718667</v>
      </c>
      <c r="C55" s="238">
        <v>414.56251926517217</v>
      </c>
      <c r="D55" s="238">
        <v>425.05011730017031</v>
      </c>
      <c r="E55" s="238">
        <v>424.97185335657076</v>
      </c>
      <c r="F55" s="238">
        <v>498.41736623174916</v>
      </c>
      <c r="G55" s="238">
        <v>522.4402399627154</v>
      </c>
      <c r="H55" s="238">
        <v>527.36782665160638</v>
      </c>
      <c r="I55" s="238">
        <v>580.10311814406248</v>
      </c>
      <c r="J55" s="238">
        <v>555.35507637022749</v>
      </c>
      <c r="K55" s="238">
        <v>479.67210044122118</v>
      </c>
      <c r="L55" s="238">
        <v>489.30848111120855</v>
      </c>
      <c r="M55" s="238">
        <v>588.58877553583159</v>
      </c>
      <c r="N55" s="238">
        <v>716.7696201851511</v>
      </c>
      <c r="O55" s="238">
        <v>718.67179777012041</v>
      </c>
      <c r="P55" s="238">
        <v>775.25090712663189</v>
      </c>
      <c r="Q55" s="238">
        <v>798.63831101777521</v>
      </c>
    </row>
    <row r="56" spans="1:17" ht="11.4" customHeight="1">
      <c r="A56" s="241" t="s">
        <v>524</v>
      </c>
      <c r="B56" s="242">
        <v>0</v>
      </c>
      <c r="C56" s="242">
        <v>0</v>
      </c>
      <c r="D56" s="242">
        <v>6.5897309733006629E-2</v>
      </c>
      <c r="E56" s="242">
        <v>0.35093594867668931</v>
      </c>
      <c r="F56" s="242">
        <v>0.42248934438341335</v>
      </c>
      <c r="G56" s="242">
        <v>0.67650993560322903</v>
      </c>
      <c r="H56" s="242">
        <v>3.3655346011215341</v>
      </c>
      <c r="I56" s="242">
        <v>7.2151880292770727</v>
      </c>
      <c r="J56" s="242">
        <v>17.743051340990597</v>
      </c>
      <c r="K56" s="242">
        <v>18.471944895892467</v>
      </c>
      <c r="L56" s="242">
        <v>18.533505482628918</v>
      </c>
      <c r="M56" s="242">
        <v>19.449537374453293</v>
      </c>
      <c r="N56" s="242">
        <v>15.869012671395916</v>
      </c>
      <c r="O56" s="242">
        <v>18.893141686502663</v>
      </c>
      <c r="P56" s="242">
        <v>24.40050668332707</v>
      </c>
      <c r="Q56" s="242">
        <v>17.056204742272087</v>
      </c>
    </row>
    <row r="58" spans="1:17" ht="11.4" customHeight="1">
      <c r="A58" s="243" t="s">
        <v>540</v>
      </c>
      <c r="B58" s="244"/>
      <c r="C58" s="244"/>
      <c r="D58" s="244"/>
      <c r="E58" s="244"/>
      <c r="F58" s="244"/>
      <c r="G58" s="244"/>
      <c r="H58" s="244"/>
      <c r="I58" s="244"/>
      <c r="J58" s="244"/>
      <c r="K58" s="244"/>
      <c r="L58" s="244"/>
      <c r="M58" s="245"/>
      <c r="N58" s="245"/>
      <c r="O58" s="245"/>
      <c r="P58" s="245"/>
      <c r="Q58" s="245"/>
    </row>
    <row r="60" spans="1:17" ht="11.4" customHeight="1">
      <c r="A60" s="217" t="s">
        <v>541</v>
      </c>
      <c r="B60" s="226">
        <v>9.602747515783367</v>
      </c>
      <c r="C60" s="226">
        <v>9.4943885270357598</v>
      </c>
      <c r="D60" s="226">
        <v>9.3708141392093811</v>
      </c>
      <c r="E60" s="226">
        <v>9.333390631620416</v>
      </c>
      <c r="F60" s="226">
        <v>9.2564981476654218</v>
      </c>
      <c r="G60" s="226">
        <v>9.2424873298314498</v>
      </c>
      <c r="H60" s="226">
        <v>9.084664006552833</v>
      </c>
      <c r="I60" s="226">
        <v>9.1700150746162592</v>
      </c>
      <c r="J60" s="226">
        <v>8.9417745053649291</v>
      </c>
      <c r="K60" s="226">
        <v>8.7677667255531944</v>
      </c>
      <c r="L60" s="226">
        <v>8.7091875327853767</v>
      </c>
      <c r="M60" s="226">
        <v>8.526582875749499</v>
      </c>
      <c r="N60" s="226">
        <v>8.412646765705075</v>
      </c>
      <c r="O60" s="226">
        <v>8.2944611962303139</v>
      </c>
      <c r="P60" s="226">
        <v>8.21458120319976</v>
      </c>
      <c r="Q60" s="226">
        <v>8.0395277627381603</v>
      </c>
    </row>
    <row r="61" spans="1:17" ht="11.4" customHeight="1">
      <c r="A61" s="227" t="s">
        <v>522</v>
      </c>
      <c r="B61" s="228">
        <v>8.0381906473854023</v>
      </c>
      <c r="C61" s="228">
        <v>7.8454300443213487</v>
      </c>
      <c r="D61" s="228">
        <v>7.7320604634780663</v>
      </c>
      <c r="E61" s="228">
        <v>7.6232360863712341</v>
      </c>
      <c r="F61" s="228">
        <v>7.522979296949095</v>
      </c>
      <c r="G61" s="228">
        <v>7.4346677607674581</v>
      </c>
      <c r="H61" s="228">
        <v>7.332178165836706</v>
      </c>
      <c r="I61" s="228">
        <v>7.2469197030631687</v>
      </c>
      <c r="J61" s="228">
        <v>7.1238099248837923</v>
      </c>
      <c r="K61" s="228">
        <v>7.0009762684667605</v>
      </c>
      <c r="L61" s="228">
        <v>6.8870297208279112</v>
      </c>
      <c r="M61" s="228">
        <v>6.7599853818850182</v>
      </c>
      <c r="N61" s="228">
        <v>6.6429482970116913</v>
      </c>
      <c r="O61" s="228">
        <v>6.5690379967774186</v>
      </c>
      <c r="P61" s="228">
        <v>6.4477666758421757</v>
      </c>
      <c r="Q61" s="228">
        <v>6.2860531826607442</v>
      </c>
    </row>
    <row r="62" spans="1:17" ht="11.4" customHeight="1">
      <c r="A62" s="239" t="s">
        <v>542</v>
      </c>
      <c r="B62" s="240">
        <v>4.8207743795843827</v>
      </c>
      <c r="C62" s="240">
        <v>4.6771453159862082</v>
      </c>
      <c r="D62" s="240">
        <v>4.6194510637006037</v>
      </c>
      <c r="E62" s="240">
        <v>4.5498782577977197</v>
      </c>
      <c r="F62" s="240">
        <v>4.5222503142645634</v>
      </c>
      <c r="G62" s="240">
        <v>4.4739365829909534</v>
      </c>
      <c r="H62" s="240">
        <v>4.3571984522909233</v>
      </c>
      <c r="I62" s="240">
        <v>4.3154746430104831</v>
      </c>
      <c r="J62" s="240">
        <v>4.3104355956345239</v>
      </c>
      <c r="K62" s="240">
        <v>4.1953441321725062</v>
      </c>
      <c r="L62" s="240">
        <v>4.1137754839708602</v>
      </c>
      <c r="M62" s="240">
        <v>4.0781716682536278</v>
      </c>
      <c r="N62" s="240">
        <v>4.0005507358084555</v>
      </c>
      <c r="O62" s="240">
        <v>3.944316914172505</v>
      </c>
      <c r="P62" s="240">
        <v>3.9289439454012718</v>
      </c>
      <c r="Q62" s="240">
        <v>3.9159295695691099</v>
      </c>
    </row>
    <row r="63" spans="1:17" ht="11.4" customHeight="1">
      <c r="A63" s="233" t="s">
        <v>525</v>
      </c>
      <c r="B63" s="234">
        <v>7.702162103250684</v>
      </c>
      <c r="C63" s="234">
        <v>7.514962181650203</v>
      </c>
      <c r="D63" s="234">
        <v>7.4107463143107672</v>
      </c>
      <c r="E63" s="234">
        <v>7.3016847549013066</v>
      </c>
      <c r="F63" s="234">
        <v>7.2052092596781927</v>
      </c>
      <c r="G63" s="234">
        <v>7.1222868191119737</v>
      </c>
      <c r="H63" s="234">
        <v>7.0209636335017809</v>
      </c>
      <c r="I63" s="234">
        <v>6.945171644738644</v>
      </c>
      <c r="J63" s="234">
        <v>6.8252112138342662</v>
      </c>
      <c r="K63" s="234">
        <v>6.7185725968412395</v>
      </c>
      <c r="L63" s="234">
        <v>6.6097317273476994</v>
      </c>
      <c r="M63" s="234">
        <v>6.4937746458816061</v>
      </c>
      <c r="N63" s="234">
        <v>6.386544661740662</v>
      </c>
      <c r="O63" s="234">
        <v>6.3080225479253684</v>
      </c>
      <c r="P63" s="234">
        <v>6.1961411929425694</v>
      </c>
      <c r="Q63" s="234">
        <v>6.0487020874786017</v>
      </c>
    </row>
    <row r="64" spans="1:17" ht="11.4" customHeight="1">
      <c r="A64" s="235" t="s">
        <v>526</v>
      </c>
      <c r="B64" s="236">
        <v>7.8761148038753559</v>
      </c>
      <c r="C64" s="236">
        <v>7.7077313703877524</v>
      </c>
      <c r="D64" s="236">
        <v>7.6265252345860413</v>
      </c>
      <c r="E64" s="236">
        <v>7.5417726763349764</v>
      </c>
      <c r="F64" s="236">
        <v>7.469879704880487</v>
      </c>
      <c r="G64" s="236">
        <v>7.4095715716262394</v>
      </c>
      <c r="H64" s="236">
        <v>7.3232324731711929</v>
      </c>
      <c r="I64" s="236">
        <v>7.2620426641583844</v>
      </c>
      <c r="J64" s="236">
        <v>7.1581049354048272</v>
      </c>
      <c r="K64" s="236">
        <v>7.0516524009457164</v>
      </c>
      <c r="L64" s="236">
        <v>6.9453840527367303</v>
      </c>
      <c r="M64" s="236">
        <v>6.8425350197102706</v>
      </c>
      <c r="N64" s="236">
        <v>6.7375384220329044</v>
      </c>
      <c r="O64" s="236">
        <v>6.6842974991383848</v>
      </c>
      <c r="P64" s="236">
        <v>6.5679334655564219</v>
      </c>
      <c r="Q64" s="236">
        <v>6.399790858742965</v>
      </c>
    </row>
    <row r="65" spans="1:17" ht="11.4" customHeight="1">
      <c r="A65" s="235" t="s">
        <v>527</v>
      </c>
      <c r="B65" s="236">
        <v>6.7428857301979646</v>
      </c>
      <c r="C65" s="236">
        <v>6.5426843493611528</v>
      </c>
      <c r="D65" s="236">
        <v>6.4341025087845676</v>
      </c>
      <c r="E65" s="236">
        <v>6.3474014255925457</v>
      </c>
      <c r="F65" s="236">
        <v>6.2807263661842114</v>
      </c>
      <c r="G65" s="236">
        <v>6.2402479902729686</v>
      </c>
      <c r="H65" s="236">
        <v>6.2259132644334221</v>
      </c>
      <c r="I65" s="236">
        <v>6.1497270815559517</v>
      </c>
      <c r="J65" s="236">
        <v>6.1104384636576849</v>
      </c>
      <c r="K65" s="236">
        <v>6.0655059735267729</v>
      </c>
      <c r="L65" s="236">
        <v>6.0086396683598116</v>
      </c>
      <c r="M65" s="236">
        <v>5.9309778051155151</v>
      </c>
      <c r="N65" s="236">
        <v>5.8740923149273501</v>
      </c>
      <c r="O65" s="236">
        <v>5.8174391538084684</v>
      </c>
      <c r="P65" s="236">
        <v>5.7420622858334527</v>
      </c>
      <c r="Q65" s="236">
        <v>5.64873656768318</v>
      </c>
    </row>
    <row r="66" spans="1:17" ht="11.4" customHeight="1">
      <c r="A66" s="235" t="s">
        <v>528</v>
      </c>
      <c r="B66" s="236">
        <v>9.7217063174943625</v>
      </c>
      <c r="C66" s="236">
        <v>9.3586450046944165</v>
      </c>
      <c r="D66" s="236">
        <v>9.1322364308297779</v>
      </c>
      <c r="E66" s="236">
        <v>9.2086164098681689</v>
      </c>
      <c r="F66" s="236">
        <v>9.2104845933884345</v>
      </c>
      <c r="G66" s="236">
        <v>9.2896722003703172</v>
      </c>
      <c r="H66" s="236">
        <v>9.2858057404337693</v>
      </c>
      <c r="I66" s="236">
        <v>8.6232660022859058</v>
      </c>
      <c r="J66" s="236">
        <v>8.8759428097941022</v>
      </c>
      <c r="K66" s="236">
        <v>8.8200409932668862</v>
      </c>
      <c r="L66" s="236">
        <v>8.8893384452600426</v>
      </c>
      <c r="M66" s="236">
        <v>8.8044560414967581</v>
      </c>
      <c r="N66" s="236">
        <v>8.593828285318045</v>
      </c>
      <c r="O66" s="236">
        <v>8.6906099603930915</v>
      </c>
      <c r="P66" s="236">
        <v>8.4668406052948502</v>
      </c>
      <c r="Q66" s="236">
        <v>8.7157341334659488</v>
      </c>
    </row>
    <row r="67" spans="1:17" ht="11.4" customHeight="1">
      <c r="A67" s="235" t="s">
        <v>529</v>
      </c>
      <c r="B67" s="236" t="s">
        <v>658</v>
      </c>
      <c r="C67" s="236" t="s">
        <v>658</v>
      </c>
      <c r="D67" s="236" t="s">
        <v>658</v>
      </c>
      <c r="E67" s="236" t="s">
        <v>658</v>
      </c>
      <c r="F67" s="236" t="s">
        <v>658</v>
      </c>
      <c r="G67" s="236" t="s">
        <v>658</v>
      </c>
      <c r="H67" s="236" t="s">
        <v>658</v>
      </c>
      <c r="I67" s="236" t="s">
        <v>658</v>
      </c>
      <c r="J67" s="236" t="s">
        <v>658</v>
      </c>
      <c r="K67" s="236" t="s">
        <v>658</v>
      </c>
      <c r="L67" s="236" t="s">
        <v>658</v>
      </c>
      <c r="M67" s="236" t="s">
        <v>658</v>
      </c>
      <c r="N67" s="236" t="s">
        <v>658</v>
      </c>
      <c r="O67" s="236" t="s">
        <v>658</v>
      </c>
      <c r="P67" s="236" t="s">
        <v>658</v>
      </c>
      <c r="Q67" s="236" t="s">
        <v>658</v>
      </c>
    </row>
    <row r="68" spans="1:17" ht="11.4" customHeight="1">
      <c r="A68" s="235" t="s">
        <v>543</v>
      </c>
      <c r="B68" s="236" t="s">
        <v>658</v>
      </c>
      <c r="C68" s="236" t="s">
        <v>658</v>
      </c>
      <c r="D68" s="236" t="s">
        <v>658</v>
      </c>
      <c r="E68" s="236" t="s">
        <v>658</v>
      </c>
      <c r="F68" s="236" t="s">
        <v>658</v>
      </c>
      <c r="G68" s="236" t="s">
        <v>658</v>
      </c>
      <c r="H68" s="236" t="s">
        <v>658</v>
      </c>
      <c r="I68" s="236" t="s">
        <v>658</v>
      </c>
      <c r="J68" s="236" t="s">
        <v>658</v>
      </c>
      <c r="K68" s="236" t="s">
        <v>658</v>
      </c>
      <c r="L68" s="236" t="s">
        <v>658</v>
      </c>
      <c r="M68" s="236" t="s">
        <v>658</v>
      </c>
      <c r="N68" s="236" t="s">
        <v>658</v>
      </c>
      <c r="O68" s="236">
        <v>2.0611541302022141</v>
      </c>
      <c r="P68" s="236">
        <v>3.3177465364473449</v>
      </c>
      <c r="Q68" s="236">
        <v>3.4489837063142361</v>
      </c>
    </row>
    <row r="69" spans="1:17" ht="11.4" customHeight="1">
      <c r="A69" s="235" t="s">
        <v>533</v>
      </c>
      <c r="B69" s="236" t="s">
        <v>658</v>
      </c>
      <c r="C69" s="236" t="s">
        <v>658</v>
      </c>
      <c r="D69" s="236" t="s">
        <v>658</v>
      </c>
      <c r="E69" s="236" t="s">
        <v>658</v>
      </c>
      <c r="F69" s="236" t="s">
        <v>658</v>
      </c>
      <c r="G69" s="236" t="s">
        <v>658</v>
      </c>
      <c r="H69" s="236" t="s">
        <v>658</v>
      </c>
      <c r="I69" s="236" t="s">
        <v>658</v>
      </c>
      <c r="J69" s="236" t="s">
        <v>658</v>
      </c>
      <c r="K69" s="236" t="s">
        <v>658</v>
      </c>
      <c r="L69" s="236">
        <v>2.950832527694442</v>
      </c>
      <c r="M69" s="236">
        <v>2.9630093684991241</v>
      </c>
      <c r="N69" s="236">
        <v>2.9749220653089079</v>
      </c>
      <c r="O69" s="236">
        <v>2.9895391436159655</v>
      </c>
      <c r="P69" s="236">
        <v>3.0086385783263112</v>
      </c>
      <c r="Q69" s="236">
        <v>3.02729605735375</v>
      </c>
    </row>
    <row r="70" spans="1:17" ht="11.4" customHeight="1">
      <c r="A70" s="233" t="s">
        <v>534</v>
      </c>
      <c r="B70" s="234">
        <v>57.701323507641234</v>
      </c>
      <c r="C70" s="234">
        <v>57.195053679837862</v>
      </c>
      <c r="D70" s="234">
        <v>56.619157303026057</v>
      </c>
      <c r="E70" s="234">
        <v>56.024084277593353</v>
      </c>
      <c r="F70" s="234">
        <v>55.432977298739459</v>
      </c>
      <c r="G70" s="234">
        <v>54.984394058802586</v>
      </c>
      <c r="H70" s="234">
        <v>54.505039699575384</v>
      </c>
      <c r="I70" s="234">
        <v>54.046078294781687</v>
      </c>
      <c r="J70" s="234">
        <v>53.60997679159356</v>
      </c>
      <c r="K70" s="234">
        <v>53.236636319615386</v>
      </c>
      <c r="L70" s="234">
        <v>52.975069372754561</v>
      </c>
      <c r="M70" s="234">
        <v>52.984730975545638</v>
      </c>
      <c r="N70" s="234">
        <v>52.966741026883213</v>
      </c>
      <c r="O70" s="234">
        <v>52.945633177924464</v>
      </c>
      <c r="P70" s="234">
        <v>52.908100998763452</v>
      </c>
      <c r="Q70" s="234">
        <v>52.80771318406083</v>
      </c>
    </row>
    <row r="71" spans="1:17" ht="11.4" customHeight="1">
      <c r="A71" s="235" t="s">
        <v>526</v>
      </c>
      <c r="B71" s="238" t="s">
        <v>658</v>
      </c>
      <c r="C71" s="238" t="s">
        <v>658</v>
      </c>
      <c r="D71" s="238" t="s">
        <v>658</v>
      </c>
      <c r="E71" s="238" t="s">
        <v>658</v>
      </c>
      <c r="F71" s="238" t="s">
        <v>658</v>
      </c>
      <c r="G71" s="238" t="s">
        <v>658</v>
      </c>
      <c r="H71" s="238" t="s">
        <v>658</v>
      </c>
      <c r="I71" s="238" t="s">
        <v>658</v>
      </c>
      <c r="J71" s="238" t="s">
        <v>658</v>
      </c>
      <c r="K71" s="238" t="s">
        <v>658</v>
      </c>
      <c r="L71" s="238" t="s">
        <v>658</v>
      </c>
      <c r="M71" s="238" t="s">
        <v>658</v>
      </c>
      <c r="N71" s="238" t="s">
        <v>658</v>
      </c>
      <c r="O71" s="238" t="s">
        <v>658</v>
      </c>
      <c r="P71" s="238" t="s">
        <v>658</v>
      </c>
      <c r="Q71" s="238" t="s">
        <v>658</v>
      </c>
    </row>
    <row r="72" spans="1:17" ht="11.4" customHeight="1">
      <c r="A72" s="235" t="s">
        <v>527</v>
      </c>
      <c r="B72" s="238">
        <v>57.727075104721429</v>
      </c>
      <c r="C72" s="238">
        <v>57.219349702796627</v>
      </c>
      <c r="D72" s="238">
        <v>56.64305978392067</v>
      </c>
      <c r="E72" s="238">
        <v>56.051138529669096</v>
      </c>
      <c r="F72" s="238">
        <v>55.460874096217275</v>
      </c>
      <c r="G72" s="238">
        <v>55.013869317475084</v>
      </c>
      <c r="H72" s="238">
        <v>54.520577097504862</v>
      </c>
      <c r="I72" s="238">
        <v>54.059738146636413</v>
      </c>
      <c r="J72" s="238">
        <v>53.636221029752974</v>
      </c>
      <c r="K72" s="238">
        <v>53.263653598239571</v>
      </c>
      <c r="L72" s="238">
        <v>53.006572100416449</v>
      </c>
      <c r="M72" s="238">
        <v>53.021093439171032</v>
      </c>
      <c r="N72" s="238">
        <v>53.009812084066546</v>
      </c>
      <c r="O72" s="238">
        <v>52.978746881436024</v>
      </c>
      <c r="P72" s="238">
        <v>52.93980451336958</v>
      </c>
      <c r="Q72" s="238">
        <v>52.901730498578225</v>
      </c>
    </row>
    <row r="73" spans="1:17" ht="11.4" customHeight="1">
      <c r="A73" s="235" t="s">
        <v>528</v>
      </c>
      <c r="B73" s="238" t="s">
        <v>658</v>
      </c>
      <c r="C73" s="238" t="s">
        <v>658</v>
      </c>
      <c r="D73" s="238" t="s">
        <v>658</v>
      </c>
      <c r="E73" s="238" t="s">
        <v>658</v>
      </c>
      <c r="F73" s="238" t="s">
        <v>658</v>
      </c>
      <c r="G73" s="238" t="s">
        <v>658</v>
      </c>
      <c r="H73" s="238" t="s">
        <v>658</v>
      </c>
      <c r="I73" s="238" t="s">
        <v>658</v>
      </c>
      <c r="J73" s="238" t="s">
        <v>658</v>
      </c>
      <c r="K73" s="238" t="s">
        <v>658</v>
      </c>
      <c r="L73" s="238" t="s">
        <v>658</v>
      </c>
      <c r="M73" s="238" t="s">
        <v>658</v>
      </c>
      <c r="N73" s="238" t="s">
        <v>658</v>
      </c>
      <c r="O73" s="238" t="s">
        <v>658</v>
      </c>
      <c r="P73" s="238" t="s">
        <v>658</v>
      </c>
      <c r="Q73" s="238" t="s">
        <v>658</v>
      </c>
    </row>
    <row r="74" spans="1:17" ht="11.4" customHeight="1">
      <c r="A74" s="235" t="s">
        <v>529</v>
      </c>
      <c r="B74" s="238" t="s">
        <v>658</v>
      </c>
      <c r="C74" s="238" t="s">
        <v>658</v>
      </c>
      <c r="D74" s="238" t="s">
        <v>658</v>
      </c>
      <c r="E74" s="238" t="s">
        <v>658</v>
      </c>
      <c r="F74" s="238" t="s">
        <v>658</v>
      </c>
      <c r="G74" s="238" t="s">
        <v>658</v>
      </c>
      <c r="H74" s="238" t="s">
        <v>658</v>
      </c>
      <c r="I74" s="238" t="s">
        <v>658</v>
      </c>
      <c r="J74" s="238" t="s">
        <v>658</v>
      </c>
      <c r="K74" s="238" t="s">
        <v>658</v>
      </c>
      <c r="L74" s="238" t="s">
        <v>658</v>
      </c>
      <c r="M74" s="238" t="s">
        <v>658</v>
      </c>
      <c r="N74" s="238" t="s">
        <v>658</v>
      </c>
      <c r="O74" s="238" t="s">
        <v>658</v>
      </c>
      <c r="P74" s="238" t="s">
        <v>658</v>
      </c>
      <c r="Q74" s="238" t="s">
        <v>658</v>
      </c>
    </row>
    <row r="75" spans="1:17" ht="11.4" customHeight="1">
      <c r="A75" s="235" t="s">
        <v>533</v>
      </c>
      <c r="B75" s="238">
        <v>37.260871472849274</v>
      </c>
      <c r="C75" s="238">
        <v>37.354023651531406</v>
      </c>
      <c r="D75" s="238">
        <v>37.20327849660238</v>
      </c>
      <c r="E75" s="238">
        <v>36.576400207992663</v>
      </c>
      <c r="F75" s="238">
        <v>36.414261539563753</v>
      </c>
      <c r="G75" s="238">
        <v>36.131200078220111</v>
      </c>
      <c r="H75" s="238">
        <v>34.690956132161041</v>
      </c>
      <c r="I75" s="238">
        <v>34.294581350403512</v>
      </c>
      <c r="J75" s="238">
        <v>32.787434757470059</v>
      </c>
      <c r="K75" s="238">
        <v>32.869403344363732</v>
      </c>
      <c r="L75" s="238">
        <v>32.681238691119631</v>
      </c>
      <c r="M75" s="238">
        <v>32.554943965488498</v>
      </c>
      <c r="N75" s="238">
        <v>32.370011329886935</v>
      </c>
      <c r="O75" s="238">
        <v>31.14886857670162</v>
      </c>
      <c r="P75" s="238">
        <v>31.17961040482432</v>
      </c>
      <c r="Q75" s="238">
        <v>30.669117932721136</v>
      </c>
    </row>
    <row r="76" spans="1:17" ht="11.4" customHeight="1">
      <c r="A76" s="227" t="s">
        <v>535</v>
      </c>
      <c r="B76" s="228">
        <v>17.714497450394393</v>
      </c>
      <c r="C76" s="228">
        <v>17.882784333579732</v>
      </c>
      <c r="D76" s="228">
        <v>17.689467104143048</v>
      </c>
      <c r="E76" s="228">
        <v>17.571756322178619</v>
      </c>
      <c r="F76" s="228">
        <v>17.408515896415786</v>
      </c>
      <c r="G76" s="228">
        <v>17.431246709755598</v>
      </c>
      <c r="H76" s="228">
        <v>16.978248579282738</v>
      </c>
      <c r="I76" s="228">
        <v>17.440087537783381</v>
      </c>
      <c r="J76" s="228">
        <v>17.171999337011044</v>
      </c>
      <c r="K76" s="228">
        <v>16.894741559775632</v>
      </c>
      <c r="L76" s="228">
        <v>16.858866743510248</v>
      </c>
      <c r="M76" s="228">
        <v>16.301678502841206</v>
      </c>
      <c r="N76" s="228">
        <v>16.222559559851131</v>
      </c>
      <c r="O76" s="228">
        <v>15.868328657790078</v>
      </c>
      <c r="P76" s="228">
        <v>15.789253438293137</v>
      </c>
      <c r="Q76" s="228">
        <v>15.381817864559483</v>
      </c>
    </row>
    <row r="77" spans="1:17" ht="11.4" customHeight="1">
      <c r="A77" s="239" t="s">
        <v>536</v>
      </c>
      <c r="B77" s="240">
        <v>9.5091061586709245</v>
      </c>
      <c r="C77" s="240">
        <v>9.3614215126135463</v>
      </c>
      <c r="D77" s="240">
        <v>9.2169722913125653</v>
      </c>
      <c r="E77" s="240">
        <v>9.0821194616425807</v>
      </c>
      <c r="F77" s="240">
        <v>8.9476238439281044</v>
      </c>
      <c r="G77" s="240">
        <v>8.8545101550118499</v>
      </c>
      <c r="H77" s="240">
        <v>8.7836403857620056</v>
      </c>
      <c r="I77" s="240">
        <v>8.7004408797053543</v>
      </c>
      <c r="J77" s="240">
        <v>8.5997580547670971</v>
      </c>
      <c r="K77" s="240">
        <v>8.4746741093279212</v>
      </c>
      <c r="L77" s="240">
        <v>8.4345947989869003</v>
      </c>
      <c r="M77" s="240">
        <v>8.3734689301533027</v>
      </c>
      <c r="N77" s="240">
        <v>8.3147410920349447</v>
      </c>
      <c r="O77" s="240">
        <v>8.24092759379071</v>
      </c>
      <c r="P77" s="240">
        <v>8.1458286306962275</v>
      </c>
      <c r="Q77" s="240">
        <v>8.0458033227962193</v>
      </c>
    </row>
    <row r="78" spans="1:17" ht="11.4" customHeight="1">
      <c r="A78" s="235" t="s">
        <v>526</v>
      </c>
      <c r="B78" s="236">
        <v>9.8831421313435541</v>
      </c>
      <c r="C78" s="236">
        <v>9.7880110403001179</v>
      </c>
      <c r="D78" s="236">
        <v>9.681155099918362</v>
      </c>
      <c r="E78" s="236">
        <v>9.572805309909036</v>
      </c>
      <c r="F78" s="236">
        <v>9.465095865591552</v>
      </c>
      <c r="G78" s="236">
        <v>9.3650909008212473</v>
      </c>
      <c r="H78" s="236">
        <v>9.324308691827337</v>
      </c>
      <c r="I78" s="236">
        <v>9.2589542316330853</v>
      </c>
      <c r="J78" s="236">
        <v>9.1227301918817609</v>
      </c>
      <c r="K78" s="236">
        <v>8.9275573424821761</v>
      </c>
      <c r="L78" s="236">
        <v>8.7897180324249327</v>
      </c>
      <c r="M78" s="236">
        <v>8.6486465569565834</v>
      </c>
      <c r="N78" s="236">
        <v>8.5236249325998088</v>
      </c>
      <c r="O78" s="236">
        <v>8.4030957888604121</v>
      </c>
      <c r="P78" s="236">
        <v>8.2741899374754269</v>
      </c>
      <c r="Q78" s="236">
        <v>8.1820869176909596</v>
      </c>
    </row>
    <row r="79" spans="1:17" ht="11.4" customHeight="1">
      <c r="A79" s="235" t="s">
        <v>527</v>
      </c>
      <c r="B79" s="236">
        <v>9.4639096511647516</v>
      </c>
      <c r="C79" s="236">
        <v>9.3040933330629763</v>
      </c>
      <c r="D79" s="236">
        <v>9.1467206730731068</v>
      </c>
      <c r="E79" s="236">
        <v>9.005242661754572</v>
      </c>
      <c r="F79" s="236">
        <v>8.8705031286590508</v>
      </c>
      <c r="G79" s="236">
        <v>8.7782456682672638</v>
      </c>
      <c r="H79" s="236">
        <v>8.7094686891171111</v>
      </c>
      <c r="I79" s="236">
        <v>8.63100532887292</v>
      </c>
      <c r="J79" s="236">
        <v>8.5359127908722048</v>
      </c>
      <c r="K79" s="236">
        <v>8.4211052218577027</v>
      </c>
      <c r="L79" s="236">
        <v>8.3870449160130658</v>
      </c>
      <c r="M79" s="236">
        <v>8.3309138857135352</v>
      </c>
      <c r="N79" s="236">
        <v>8.2758044420483046</v>
      </c>
      <c r="O79" s="236">
        <v>8.203658309792381</v>
      </c>
      <c r="P79" s="236">
        <v>8.1138176425286694</v>
      </c>
      <c r="Q79" s="236">
        <v>8.0172095770137073</v>
      </c>
    </row>
    <row r="80" spans="1:17" ht="11.4" customHeight="1">
      <c r="A80" s="235" t="s">
        <v>528</v>
      </c>
      <c r="B80" s="236">
        <v>11.800021625651253</v>
      </c>
      <c r="C80" s="236">
        <v>10.834895540137833</v>
      </c>
      <c r="D80" s="236">
        <v>10.713775642609539</v>
      </c>
      <c r="E80" s="236">
        <v>10.679028637928836</v>
      </c>
      <c r="F80" s="236">
        <v>10.655696125399672</v>
      </c>
      <c r="G80" s="236">
        <v>10.634135320848493</v>
      </c>
      <c r="H80" s="236">
        <v>10.603238493318242</v>
      </c>
      <c r="I80" s="236">
        <v>10.589790231739538</v>
      </c>
      <c r="J80" s="236">
        <v>10.593321818070029</v>
      </c>
      <c r="K80" s="236">
        <v>10.590117129724799</v>
      </c>
      <c r="L80" s="236">
        <v>10.609944261225721</v>
      </c>
      <c r="M80" s="236">
        <v>10.625971081758006</v>
      </c>
      <c r="N80" s="236">
        <v>10.645653330519899</v>
      </c>
      <c r="O80" s="236">
        <v>10.617565831161725</v>
      </c>
      <c r="P80" s="236">
        <v>10.604725117401092</v>
      </c>
      <c r="Q80" s="236">
        <v>10.585586338397993</v>
      </c>
    </row>
    <row r="81" spans="1:17" ht="11.4" customHeight="1">
      <c r="A81" s="235" t="s">
        <v>529</v>
      </c>
      <c r="B81" s="236" t="s">
        <v>658</v>
      </c>
      <c r="C81" s="236" t="s">
        <v>658</v>
      </c>
      <c r="D81" s="236" t="s">
        <v>658</v>
      </c>
      <c r="E81" s="236" t="s">
        <v>658</v>
      </c>
      <c r="F81" s="236" t="s">
        <v>658</v>
      </c>
      <c r="G81" s="236" t="s">
        <v>658</v>
      </c>
      <c r="H81" s="236" t="s">
        <v>658</v>
      </c>
      <c r="I81" s="236" t="s">
        <v>658</v>
      </c>
      <c r="J81" s="236" t="s">
        <v>658</v>
      </c>
      <c r="K81" s="236" t="s">
        <v>658</v>
      </c>
      <c r="L81" s="236" t="s">
        <v>658</v>
      </c>
      <c r="M81" s="236" t="s">
        <v>658</v>
      </c>
      <c r="N81" s="236" t="s">
        <v>658</v>
      </c>
      <c r="O81" s="236" t="s">
        <v>658</v>
      </c>
      <c r="P81" s="236" t="s">
        <v>658</v>
      </c>
      <c r="Q81" s="236" t="s">
        <v>658</v>
      </c>
    </row>
    <row r="82" spans="1:17" ht="11.4" customHeight="1">
      <c r="A82" s="235" t="s">
        <v>533</v>
      </c>
      <c r="B82" s="236" t="s">
        <v>658</v>
      </c>
      <c r="C82" s="236" t="s">
        <v>658</v>
      </c>
      <c r="D82" s="236" t="s">
        <v>658</v>
      </c>
      <c r="E82" s="236" t="s">
        <v>658</v>
      </c>
      <c r="F82" s="236">
        <v>4.4036188166562598</v>
      </c>
      <c r="G82" s="236">
        <v>4.4143128594195318</v>
      </c>
      <c r="H82" s="236">
        <v>4.4253486415680818</v>
      </c>
      <c r="I82" s="236">
        <v>4.4364120131720002</v>
      </c>
      <c r="J82" s="236">
        <v>4.4475017900056342</v>
      </c>
      <c r="K82" s="236">
        <v>4.4586091132055961</v>
      </c>
      <c r="L82" s="236">
        <v>4.464163580398214</v>
      </c>
      <c r="M82" s="236">
        <v>4.463672246506869</v>
      </c>
      <c r="N82" s="236">
        <v>4.4703722484823709</v>
      </c>
      <c r="O82" s="236">
        <v>4.4856790166969098</v>
      </c>
      <c r="P82" s="236">
        <v>4.5107465620709801</v>
      </c>
      <c r="Q82" s="236">
        <v>4.5339731453781367</v>
      </c>
    </row>
    <row r="83" spans="1:17" ht="11.4" customHeight="1">
      <c r="A83" s="233" t="s">
        <v>544</v>
      </c>
      <c r="B83" s="234">
        <v>41.424146864749943</v>
      </c>
      <c r="C83" s="234">
        <v>41.861588771944717</v>
      </c>
      <c r="D83" s="234">
        <v>41.826416763954043</v>
      </c>
      <c r="E83" s="234">
        <v>41.564059606865264</v>
      </c>
      <c r="F83" s="234">
        <v>42.203853130453837</v>
      </c>
      <c r="G83" s="234">
        <v>43.013719174824892</v>
      </c>
      <c r="H83" s="234">
        <v>42.032959774742324</v>
      </c>
      <c r="I83" s="234">
        <v>44.335894913978834</v>
      </c>
      <c r="J83" s="234">
        <v>44.120072615476218</v>
      </c>
      <c r="K83" s="234">
        <v>46.242168524590006</v>
      </c>
      <c r="L83" s="234">
        <v>47.233826735817161</v>
      </c>
      <c r="M83" s="234">
        <v>44.027028215751564</v>
      </c>
      <c r="N83" s="234">
        <v>45.105268729000471</v>
      </c>
      <c r="O83" s="234">
        <v>45.013938271898546</v>
      </c>
      <c r="P83" s="234">
        <v>46.174634764892907</v>
      </c>
      <c r="Q83" s="234">
        <v>44.456109865842862</v>
      </c>
    </row>
    <row r="84" spans="1:17" ht="11.4" customHeight="1">
      <c r="A84" s="223" t="s">
        <v>538</v>
      </c>
      <c r="B84" s="238">
        <v>41.134506109747917</v>
      </c>
      <c r="C84" s="238">
        <v>41.654701112379271</v>
      </c>
      <c r="D84" s="238">
        <v>41.66574352300227</v>
      </c>
      <c r="E84" s="238">
        <v>41.440471976444684</v>
      </c>
      <c r="F84" s="238">
        <v>42.08191264503845</v>
      </c>
      <c r="G84" s="238">
        <v>42.894562562166492</v>
      </c>
      <c r="H84" s="238">
        <v>41.909997979442302</v>
      </c>
      <c r="I84" s="238">
        <v>44.19762541267869</v>
      </c>
      <c r="J84" s="238">
        <v>43.971702501703547</v>
      </c>
      <c r="K84" s="238">
        <v>46.089589531156747</v>
      </c>
      <c r="L84" s="238">
        <v>47.066628458889944</v>
      </c>
      <c r="M84" s="238">
        <v>43.822118260753967</v>
      </c>
      <c r="N84" s="238">
        <v>44.83281069123462</v>
      </c>
      <c r="O84" s="238">
        <v>44.715240170311368</v>
      </c>
      <c r="P84" s="238">
        <v>45.838833337531923</v>
      </c>
      <c r="Q84" s="238">
        <v>44.112022348238277</v>
      </c>
    </row>
    <row r="85" spans="1:17" ht="11.4" customHeight="1">
      <c r="A85" s="246" t="s">
        <v>539</v>
      </c>
      <c r="B85" s="242">
        <v>46.938285379923784</v>
      </c>
      <c r="C85" s="242">
        <v>45.726592126515492</v>
      </c>
      <c r="D85" s="242">
        <v>44.73335658207025</v>
      </c>
      <c r="E85" s="242">
        <v>43.875188803214328</v>
      </c>
      <c r="F85" s="242">
        <v>44.161605700329254</v>
      </c>
      <c r="G85" s="242">
        <v>44.912347128906227</v>
      </c>
      <c r="H85" s="242">
        <v>43.946089313723043</v>
      </c>
      <c r="I85" s="242">
        <v>46.48157196486364</v>
      </c>
      <c r="J85" s="242">
        <v>46.367569595113011</v>
      </c>
      <c r="K85" s="242">
        <v>48.795921640069523</v>
      </c>
      <c r="L85" s="242">
        <v>50.021078347431988</v>
      </c>
      <c r="M85" s="242">
        <v>46.763560188440678</v>
      </c>
      <c r="N85" s="242">
        <v>48.046985369589294</v>
      </c>
      <c r="O85" s="242">
        <v>48.153290459400097</v>
      </c>
      <c r="P85" s="242">
        <v>49.582571242445404</v>
      </c>
      <c r="Q85" s="242">
        <v>47.921435646869995</v>
      </c>
    </row>
    <row r="87" spans="1:17" ht="11.4" customHeight="1">
      <c r="A87" s="217" t="s">
        <v>545</v>
      </c>
      <c r="B87" s="247"/>
      <c r="C87" s="247"/>
      <c r="D87" s="247"/>
      <c r="E87" s="247"/>
      <c r="F87" s="247"/>
      <c r="G87" s="247"/>
      <c r="H87" s="247"/>
      <c r="I87" s="247"/>
      <c r="J87" s="247"/>
      <c r="K87" s="247"/>
      <c r="L87" s="247"/>
      <c r="M87" s="247"/>
      <c r="N87" s="247"/>
      <c r="O87" s="247"/>
      <c r="P87" s="247"/>
      <c r="Q87" s="247"/>
    </row>
    <row r="88" spans="1:17" ht="11.4" customHeight="1">
      <c r="A88" s="227" t="s">
        <v>546</v>
      </c>
      <c r="B88" s="248">
        <v>40.028783447028388</v>
      </c>
      <c r="C88" s="248">
        <v>38.526287645639044</v>
      </c>
      <c r="D88" s="248">
        <v>38.026518886789219</v>
      </c>
      <c r="E88" s="248">
        <v>37.18051802321984</v>
      </c>
      <c r="F88" s="248">
        <v>37.10801027530097</v>
      </c>
      <c r="G88" s="248">
        <v>36.82644665057115</v>
      </c>
      <c r="H88" s="248">
        <v>36.959581651104394</v>
      </c>
      <c r="I88" s="248">
        <v>36.256245325347912</v>
      </c>
      <c r="J88" s="248">
        <v>36.063850247799017</v>
      </c>
      <c r="K88" s="248">
        <v>35.328971541839664</v>
      </c>
      <c r="L88" s="248">
        <v>35.252587340085618</v>
      </c>
      <c r="M88" s="248">
        <v>34.979617261070757</v>
      </c>
      <c r="N88" s="248">
        <v>34.586076676302675</v>
      </c>
      <c r="O88" s="248">
        <v>34.739398006800315</v>
      </c>
      <c r="P88" s="248">
        <v>34.219316792826028</v>
      </c>
      <c r="Q88" s="248">
        <v>34.258085159644089</v>
      </c>
    </row>
    <row r="89" spans="1:17" ht="11.4" customHeight="1">
      <c r="A89" s="239" t="s">
        <v>542</v>
      </c>
      <c r="B89" s="249">
        <v>41.740211962444278</v>
      </c>
      <c r="C89" s="249">
        <v>40.497390259066918</v>
      </c>
      <c r="D89" s="249">
        <v>40.004791893735295</v>
      </c>
      <c r="E89" s="249">
        <v>39.385745375259731</v>
      </c>
      <c r="F89" s="249">
        <v>39.141344018115653</v>
      </c>
      <c r="G89" s="249">
        <v>38.758271778154942</v>
      </c>
      <c r="H89" s="249">
        <v>37.736428378785853</v>
      </c>
      <c r="I89" s="249">
        <v>37.315177204624447</v>
      </c>
      <c r="J89" s="249">
        <v>37.252000586799113</v>
      </c>
      <c r="K89" s="249">
        <v>36.239956466314588</v>
      </c>
      <c r="L89" s="249">
        <v>35.596509825404226</v>
      </c>
      <c r="M89" s="249">
        <v>35.319369762360395</v>
      </c>
      <c r="N89" s="249">
        <v>34.711071340947399</v>
      </c>
      <c r="O89" s="249">
        <v>34.240161756425486</v>
      </c>
      <c r="P89" s="249">
        <v>34.094299725371513</v>
      </c>
      <c r="Q89" s="249">
        <v>33.980633908785592</v>
      </c>
    </row>
    <row r="90" spans="1:17" ht="11.4" customHeight="1">
      <c r="A90" s="233" t="s">
        <v>525</v>
      </c>
      <c r="B90" s="250">
        <v>40.693124154062346</v>
      </c>
      <c r="C90" s="250">
        <v>39.087161145959662</v>
      </c>
      <c r="D90" s="250">
        <v>38.198653531216493</v>
      </c>
      <c r="E90" s="250">
        <v>37.51250751888643</v>
      </c>
      <c r="F90" s="250">
        <v>37.266306399405053</v>
      </c>
      <c r="G90" s="250">
        <v>37.07780629460833</v>
      </c>
      <c r="H90" s="250">
        <v>37.095544293172161</v>
      </c>
      <c r="I90" s="250">
        <v>36.409051788975901</v>
      </c>
      <c r="J90" s="250">
        <v>36.387283303584759</v>
      </c>
      <c r="K90" s="250">
        <v>35.778005276575364</v>
      </c>
      <c r="L90" s="250">
        <v>35.820899250078639</v>
      </c>
      <c r="M90" s="250">
        <v>35.490895445880945</v>
      </c>
      <c r="N90" s="250">
        <v>35.105388463512845</v>
      </c>
      <c r="O90" s="250">
        <v>35.15259133067871</v>
      </c>
      <c r="P90" s="250">
        <v>34.575163818909026</v>
      </c>
      <c r="Q90" s="250">
        <v>34.657644631771362</v>
      </c>
    </row>
    <row r="91" spans="1:17" ht="11.4" customHeight="1">
      <c r="A91" s="235" t="s">
        <v>526</v>
      </c>
      <c r="B91" s="251">
        <v>41.795799549966219</v>
      </c>
      <c r="C91" s="251">
        <v>40.280367512904256</v>
      </c>
      <c r="D91" s="251">
        <v>39.515150199946525</v>
      </c>
      <c r="E91" s="251">
        <v>38.969691361941955</v>
      </c>
      <c r="F91" s="251">
        <v>38.882259857854102</v>
      </c>
      <c r="G91" s="251">
        <v>38.845721936963358</v>
      </c>
      <c r="H91" s="251">
        <v>38.999010139364501</v>
      </c>
      <c r="I91" s="251">
        <v>38.381456925708271</v>
      </c>
      <c r="J91" s="251">
        <v>38.510503794539211</v>
      </c>
      <c r="K91" s="251">
        <v>37.91627698019601</v>
      </c>
      <c r="L91" s="251">
        <v>38.027731193619516</v>
      </c>
      <c r="M91" s="251">
        <v>37.80799611052857</v>
      </c>
      <c r="N91" s="251">
        <v>37.466689003232801</v>
      </c>
      <c r="O91" s="251">
        <v>37.712812813716937</v>
      </c>
      <c r="P91" s="251">
        <v>37.120114290429647</v>
      </c>
      <c r="Q91" s="251">
        <v>37.15356278102341</v>
      </c>
    </row>
    <row r="92" spans="1:17" ht="11.4" customHeight="1">
      <c r="A92" s="235" t="s">
        <v>527</v>
      </c>
      <c r="B92" s="251">
        <v>34.784506142519305</v>
      </c>
      <c r="C92" s="251">
        <v>33.238564905017327</v>
      </c>
      <c r="D92" s="251">
        <v>32.407411480738546</v>
      </c>
      <c r="E92" s="251">
        <v>31.883716261249987</v>
      </c>
      <c r="F92" s="251">
        <v>31.780974172773167</v>
      </c>
      <c r="G92" s="251">
        <v>31.803241781175334</v>
      </c>
      <c r="H92" s="251">
        <v>32.230962240895444</v>
      </c>
      <c r="I92" s="251">
        <v>31.596424858690337</v>
      </c>
      <c r="J92" s="251">
        <v>31.957511680884821</v>
      </c>
      <c r="K92" s="251">
        <v>31.704526223701048</v>
      </c>
      <c r="L92" s="251">
        <v>31.981567996087271</v>
      </c>
      <c r="M92" s="251">
        <v>31.857549881236423</v>
      </c>
      <c r="N92" s="251">
        <v>31.754426249469912</v>
      </c>
      <c r="O92" s="251">
        <v>31.906887888359826</v>
      </c>
      <c r="P92" s="251">
        <v>31.547714456650144</v>
      </c>
      <c r="Q92" s="251">
        <v>31.879055666147273</v>
      </c>
    </row>
    <row r="93" spans="1:17" ht="11.4" customHeight="1">
      <c r="A93" s="235" t="s">
        <v>528</v>
      </c>
      <c r="B93" s="251">
        <v>52.951606631614396</v>
      </c>
      <c r="C93" s="251">
        <v>50.182069712848538</v>
      </c>
      <c r="D93" s="251">
        <v>48.527902504327201</v>
      </c>
      <c r="E93" s="251">
        <v>48.77257274080997</v>
      </c>
      <c r="F93" s="251">
        <v>49.111194582974619</v>
      </c>
      <c r="G93" s="251">
        <v>49.856665354714735</v>
      </c>
      <c r="H93" s="251">
        <v>50.579308077622905</v>
      </c>
      <c r="I93" s="251">
        <v>46.60434771852352</v>
      </c>
      <c r="J93" s="251">
        <v>48.783875366022237</v>
      </c>
      <c r="K93" s="251">
        <v>48.421471012605643</v>
      </c>
      <c r="L93" s="251">
        <v>49.664990703484214</v>
      </c>
      <c r="M93" s="251">
        <v>49.607865275045071</v>
      </c>
      <c r="N93" s="251">
        <v>48.699305412905971</v>
      </c>
      <c r="O93" s="251">
        <v>49.92782334267968</v>
      </c>
      <c r="P93" s="251">
        <v>48.707135658849872</v>
      </c>
      <c r="Q93" s="251">
        <v>51.483621522121894</v>
      </c>
    </row>
    <row r="94" spans="1:17" ht="11.4" customHeight="1">
      <c r="A94" s="235" t="s">
        <v>529</v>
      </c>
      <c r="B94" s="251" t="s">
        <v>658</v>
      </c>
      <c r="C94" s="251" t="s">
        <v>658</v>
      </c>
      <c r="D94" s="251" t="s">
        <v>658</v>
      </c>
      <c r="E94" s="251" t="s">
        <v>658</v>
      </c>
      <c r="F94" s="251" t="s">
        <v>658</v>
      </c>
      <c r="G94" s="251" t="s">
        <v>658</v>
      </c>
      <c r="H94" s="251" t="s">
        <v>658</v>
      </c>
      <c r="I94" s="251" t="s">
        <v>658</v>
      </c>
      <c r="J94" s="251" t="s">
        <v>658</v>
      </c>
      <c r="K94" s="251" t="s">
        <v>658</v>
      </c>
      <c r="L94" s="251" t="s">
        <v>658</v>
      </c>
      <c r="M94" s="251" t="s">
        <v>658</v>
      </c>
      <c r="N94" s="251" t="s">
        <v>658</v>
      </c>
      <c r="O94" s="251" t="s">
        <v>658</v>
      </c>
      <c r="P94" s="251" t="s">
        <v>658</v>
      </c>
      <c r="Q94" s="251" t="s">
        <v>658</v>
      </c>
    </row>
    <row r="95" spans="1:17" ht="11.4" customHeight="1">
      <c r="A95" s="235" t="s">
        <v>543</v>
      </c>
      <c r="B95" s="251" t="s">
        <v>658</v>
      </c>
      <c r="C95" s="251" t="s">
        <v>658</v>
      </c>
      <c r="D95" s="251" t="s">
        <v>658</v>
      </c>
      <c r="E95" s="251" t="s">
        <v>658</v>
      </c>
      <c r="F95" s="251" t="s">
        <v>658</v>
      </c>
      <c r="G95" s="251" t="s">
        <v>658</v>
      </c>
      <c r="H95" s="251" t="s">
        <v>658</v>
      </c>
      <c r="I95" s="251" t="s">
        <v>658</v>
      </c>
      <c r="J95" s="251" t="s">
        <v>658</v>
      </c>
      <c r="K95" s="251" t="s">
        <v>658</v>
      </c>
      <c r="L95" s="251" t="s">
        <v>658</v>
      </c>
      <c r="M95" s="251" t="s">
        <v>658</v>
      </c>
      <c r="N95" s="251" t="s">
        <v>658</v>
      </c>
      <c r="O95" s="251">
        <v>11.841394305321693</v>
      </c>
      <c r="P95" s="251">
        <v>19.085977658698656</v>
      </c>
      <c r="Q95" s="251">
        <v>20.373059693278577</v>
      </c>
    </row>
    <row r="96" spans="1:17" ht="11.4" customHeight="1">
      <c r="A96" s="235" t="s">
        <v>533</v>
      </c>
      <c r="B96" s="251" t="s">
        <v>658</v>
      </c>
      <c r="C96" s="251" t="s">
        <v>658</v>
      </c>
      <c r="D96" s="251" t="s">
        <v>658</v>
      </c>
      <c r="E96" s="251" t="s">
        <v>658</v>
      </c>
      <c r="F96" s="251" t="s">
        <v>658</v>
      </c>
      <c r="G96" s="251" t="s">
        <v>658</v>
      </c>
      <c r="H96" s="251" t="s">
        <v>658</v>
      </c>
      <c r="I96" s="251" t="s">
        <v>658</v>
      </c>
      <c r="J96" s="251" t="s">
        <v>658</v>
      </c>
      <c r="K96" s="251" t="s">
        <v>658</v>
      </c>
      <c r="L96" s="251">
        <v>17.76866109256223</v>
      </c>
      <c r="M96" s="251">
        <v>17.993276712808008</v>
      </c>
      <c r="N96" s="251">
        <v>18.169413680153031</v>
      </c>
      <c r="O96" s="251">
        <v>18.510827897539258</v>
      </c>
      <c r="P96" s="251">
        <v>18.653934670035841</v>
      </c>
      <c r="Q96" s="251">
        <v>19.272996170372409</v>
      </c>
    </row>
    <row r="97" spans="1:17" ht="11.4" customHeight="1">
      <c r="A97" s="233" t="s">
        <v>534</v>
      </c>
      <c r="B97" s="250">
        <v>31.002440276293072</v>
      </c>
      <c r="C97" s="250">
        <v>30.692932636682343</v>
      </c>
      <c r="D97" s="250">
        <v>35.000322299554711</v>
      </c>
      <c r="E97" s="250">
        <v>32.056282764941216</v>
      </c>
      <c r="F97" s="250">
        <v>34.316980521880389</v>
      </c>
      <c r="G97" s="250">
        <v>32.739868326738822</v>
      </c>
      <c r="H97" s="250">
        <v>34.671751115990908</v>
      </c>
      <c r="I97" s="250">
        <v>33.654029215013807</v>
      </c>
      <c r="J97" s="250">
        <v>31.086590569085125</v>
      </c>
      <c r="K97" s="250">
        <v>28.712803095746715</v>
      </c>
      <c r="L97" s="250">
        <v>27.290337024595843</v>
      </c>
      <c r="M97" s="250">
        <v>27.499632632377025</v>
      </c>
      <c r="N97" s="250">
        <v>26.90486668715555</v>
      </c>
      <c r="O97" s="250">
        <v>28.481970688076792</v>
      </c>
      <c r="P97" s="250">
        <v>28.569411267690356</v>
      </c>
      <c r="Q97" s="250">
        <v>27.853480091200712</v>
      </c>
    </row>
    <row r="98" spans="1:17" ht="11.4" customHeight="1">
      <c r="A98" s="235" t="s">
        <v>526</v>
      </c>
      <c r="B98" s="252" t="s">
        <v>658</v>
      </c>
      <c r="C98" s="252" t="s">
        <v>658</v>
      </c>
      <c r="D98" s="252" t="s">
        <v>658</v>
      </c>
      <c r="E98" s="252" t="s">
        <v>658</v>
      </c>
      <c r="F98" s="252" t="s">
        <v>658</v>
      </c>
      <c r="G98" s="252" t="s">
        <v>658</v>
      </c>
      <c r="H98" s="252" t="s">
        <v>658</v>
      </c>
      <c r="I98" s="252" t="s">
        <v>658</v>
      </c>
      <c r="J98" s="252" t="s">
        <v>658</v>
      </c>
      <c r="K98" s="252" t="s">
        <v>658</v>
      </c>
      <c r="L98" s="252" t="s">
        <v>658</v>
      </c>
      <c r="M98" s="252" t="s">
        <v>658</v>
      </c>
      <c r="N98" s="252" t="s">
        <v>658</v>
      </c>
      <c r="O98" s="252" t="s">
        <v>658</v>
      </c>
      <c r="P98" s="252" t="s">
        <v>658</v>
      </c>
      <c r="Q98" s="252" t="s">
        <v>658</v>
      </c>
    </row>
    <row r="99" spans="1:17" ht="11.4" customHeight="1">
      <c r="A99" s="235" t="s">
        <v>527</v>
      </c>
      <c r="B99" s="252">
        <v>31.016276394807615</v>
      </c>
      <c r="C99" s="252">
        <v>30.705970760576545</v>
      </c>
      <c r="D99" s="252">
        <v>35.015098120582792</v>
      </c>
      <c r="E99" s="252">
        <v>32.071762870787055</v>
      </c>
      <c r="F99" s="252">
        <v>34.334250636211607</v>
      </c>
      <c r="G99" s="252">
        <v>32.757419053710585</v>
      </c>
      <c r="H99" s="252">
        <v>34.681634767061894</v>
      </c>
      <c r="I99" s="252">
        <v>33.662535087556208</v>
      </c>
      <c r="J99" s="252">
        <v>31.101808704501053</v>
      </c>
      <c r="K99" s="252">
        <v>28.727374673798</v>
      </c>
      <c r="L99" s="252">
        <v>27.306565791547293</v>
      </c>
      <c r="M99" s="252">
        <v>27.518505133433372</v>
      </c>
      <c r="N99" s="252">
        <v>26.926744964525952</v>
      </c>
      <c r="O99" s="252">
        <v>28.499784121898998</v>
      </c>
      <c r="P99" s="252">
        <v>28.586530588367449</v>
      </c>
      <c r="Q99" s="252">
        <v>27.903069615916753</v>
      </c>
    </row>
    <row r="100" spans="1:17" ht="11.4" customHeight="1">
      <c r="A100" s="235" t="s">
        <v>528</v>
      </c>
      <c r="B100" s="252" t="s">
        <v>658</v>
      </c>
      <c r="C100" s="252" t="s">
        <v>658</v>
      </c>
      <c r="D100" s="252" t="s">
        <v>658</v>
      </c>
      <c r="E100" s="252" t="s">
        <v>658</v>
      </c>
      <c r="F100" s="252" t="s">
        <v>658</v>
      </c>
      <c r="G100" s="252" t="s">
        <v>658</v>
      </c>
      <c r="H100" s="252" t="s">
        <v>658</v>
      </c>
      <c r="I100" s="252" t="s">
        <v>658</v>
      </c>
      <c r="J100" s="252" t="s">
        <v>658</v>
      </c>
      <c r="K100" s="252" t="s">
        <v>658</v>
      </c>
      <c r="L100" s="252" t="s">
        <v>658</v>
      </c>
      <c r="M100" s="252" t="s">
        <v>658</v>
      </c>
      <c r="N100" s="252" t="s">
        <v>658</v>
      </c>
      <c r="O100" s="252" t="s">
        <v>658</v>
      </c>
      <c r="P100" s="252" t="s">
        <v>658</v>
      </c>
      <c r="Q100" s="252" t="s">
        <v>658</v>
      </c>
    </row>
    <row r="101" spans="1:17" ht="11.4" customHeight="1">
      <c r="A101" s="235" t="s">
        <v>529</v>
      </c>
      <c r="B101" s="252" t="s">
        <v>658</v>
      </c>
      <c r="C101" s="252" t="s">
        <v>658</v>
      </c>
      <c r="D101" s="252" t="s">
        <v>658</v>
      </c>
      <c r="E101" s="252" t="s">
        <v>658</v>
      </c>
      <c r="F101" s="252" t="s">
        <v>658</v>
      </c>
      <c r="G101" s="252" t="s">
        <v>658</v>
      </c>
      <c r="H101" s="252" t="s">
        <v>658</v>
      </c>
      <c r="I101" s="252" t="s">
        <v>658</v>
      </c>
      <c r="J101" s="252" t="s">
        <v>658</v>
      </c>
      <c r="K101" s="252" t="s">
        <v>658</v>
      </c>
      <c r="L101" s="252" t="s">
        <v>658</v>
      </c>
      <c r="M101" s="252" t="s">
        <v>658</v>
      </c>
      <c r="N101" s="252" t="s">
        <v>658</v>
      </c>
      <c r="O101" s="252" t="s">
        <v>658</v>
      </c>
      <c r="P101" s="252" t="s">
        <v>658</v>
      </c>
      <c r="Q101" s="252" t="s">
        <v>658</v>
      </c>
    </row>
    <row r="102" spans="1:17" ht="11.4" customHeight="1">
      <c r="A102" s="235" t="s">
        <v>533</v>
      </c>
      <c r="B102" s="252">
        <v>20.019955735099646</v>
      </c>
      <c r="C102" s="252">
        <v>20.045518937062443</v>
      </c>
      <c r="D102" s="252">
        <v>22.99798866684268</v>
      </c>
      <c r="E102" s="252">
        <v>20.928560327402021</v>
      </c>
      <c r="F102" s="252">
        <v>22.54303421657065</v>
      </c>
      <c r="G102" s="252">
        <v>21.513935968502381</v>
      </c>
      <c r="H102" s="252">
        <v>22.067614364097349</v>
      </c>
      <c r="I102" s="252">
        <v>21.354941544289332</v>
      </c>
      <c r="J102" s="252">
        <v>19.012311161378612</v>
      </c>
      <c r="K102" s="252">
        <v>17.727880109391045</v>
      </c>
      <c r="L102" s="252">
        <v>16.835882025680124</v>
      </c>
      <c r="M102" s="252">
        <v>16.896358308051852</v>
      </c>
      <c r="N102" s="252">
        <v>16.44259817779411</v>
      </c>
      <c r="O102" s="252">
        <v>16.756455792812755</v>
      </c>
      <c r="P102" s="252">
        <v>16.836421946850869</v>
      </c>
      <c r="Q102" s="252">
        <v>16.176456321376442</v>
      </c>
    </row>
    <row r="103" spans="1:17" ht="11.4" customHeight="1">
      <c r="A103" s="227" t="s">
        <v>547</v>
      </c>
      <c r="B103" s="248">
        <v>66.335123089504634</v>
      </c>
      <c r="C103" s="248">
        <v>68.385360995432137</v>
      </c>
      <c r="D103" s="248">
        <v>68.502535683652937</v>
      </c>
      <c r="E103" s="248">
        <v>69.627364376912794</v>
      </c>
      <c r="F103" s="248">
        <v>71.407800068683784</v>
      </c>
      <c r="G103" s="248">
        <v>73.619412202152091</v>
      </c>
      <c r="H103" s="248">
        <v>71.813252744786752</v>
      </c>
      <c r="I103" s="248">
        <v>73.98155214727106</v>
      </c>
      <c r="J103" s="248">
        <v>73.555972369859845</v>
      </c>
      <c r="K103" s="248">
        <v>80.348300381066537</v>
      </c>
      <c r="L103" s="248">
        <v>78.309323631966095</v>
      </c>
      <c r="M103" s="248">
        <v>74.539643504034629</v>
      </c>
      <c r="N103" s="248">
        <v>72.24840193144081</v>
      </c>
      <c r="O103" s="248">
        <v>75.924149505094121</v>
      </c>
      <c r="P103" s="248">
        <v>79.82988069329393</v>
      </c>
      <c r="Q103" s="248">
        <v>74.499406263778752</v>
      </c>
    </row>
    <row r="104" spans="1:17" ht="11.4" customHeight="1">
      <c r="A104" s="239" t="s">
        <v>536</v>
      </c>
      <c r="B104" s="249">
        <v>307.7361563268301</v>
      </c>
      <c r="C104" s="249">
        <v>301.61398321854432</v>
      </c>
      <c r="D104" s="249">
        <v>296.63621564501614</v>
      </c>
      <c r="E104" s="249">
        <v>291.83480557363015</v>
      </c>
      <c r="F104" s="249">
        <v>285.53851500540316</v>
      </c>
      <c r="G104" s="249">
        <v>281.8157897256749</v>
      </c>
      <c r="H104" s="249">
        <v>279.10589740683207</v>
      </c>
      <c r="I104" s="249">
        <v>275.75096820572389</v>
      </c>
      <c r="J104" s="249">
        <v>269.03432156636723</v>
      </c>
      <c r="K104" s="249">
        <v>264.89935766924697</v>
      </c>
      <c r="L104" s="249">
        <v>264.44503465076332</v>
      </c>
      <c r="M104" s="249">
        <v>262.68988730228875</v>
      </c>
      <c r="N104" s="249">
        <v>261.26988879873636</v>
      </c>
      <c r="O104" s="249">
        <v>259.03402403753381</v>
      </c>
      <c r="P104" s="249">
        <v>257.19051112848268</v>
      </c>
      <c r="Q104" s="249">
        <v>255.51296778631189</v>
      </c>
    </row>
    <row r="105" spans="1:17" ht="11.4" customHeight="1">
      <c r="A105" s="235" t="s">
        <v>526</v>
      </c>
      <c r="B105" s="251">
        <v>402.77632586473374</v>
      </c>
      <c r="C105" s="251">
        <v>395.58027138870779</v>
      </c>
      <c r="D105" s="251">
        <v>390.38682462357008</v>
      </c>
      <c r="E105" s="251">
        <v>385.50926094117898</v>
      </c>
      <c r="F105" s="251">
        <v>377.35786617721288</v>
      </c>
      <c r="G105" s="251">
        <v>372.42973148726077</v>
      </c>
      <c r="H105" s="251">
        <v>371.30759711854893</v>
      </c>
      <c r="I105" s="251">
        <v>368.74802061561712</v>
      </c>
      <c r="J105" s="251">
        <v>355.42362760098302</v>
      </c>
      <c r="K105" s="251">
        <v>348.59170881641961</v>
      </c>
      <c r="L105" s="251">
        <v>345.99860634103089</v>
      </c>
      <c r="M105" s="251">
        <v>339.98904121840451</v>
      </c>
      <c r="N105" s="251">
        <v>334.99750245667269</v>
      </c>
      <c r="O105" s="251">
        <v>329.21054717460322</v>
      </c>
      <c r="P105" s="251">
        <v>325.84854407916038</v>
      </c>
      <c r="Q105" s="251">
        <v>324.7575182722104</v>
      </c>
    </row>
    <row r="106" spans="1:17" ht="11.4" customHeight="1">
      <c r="A106" s="235" t="s">
        <v>527</v>
      </c>
      <c r="B106" s="251">
        <v>299.32919620853357</v>
      </c>
      <c r="C106" s="251">
        <v>293.06491113175747</v>
      </c>
      <c r="D106" s="251">
        <v>287.66984597871766</v>
      </c>
      <c r="E106" s="251">
        <v>282.88777950076633</v>
      </c>
      <c r="F106" s="251">
        <v>277.24738548170455</v>
      </c>
      <c r="G106" s="251">
        <v>273.90009508672335</v>
      </c>
      <c r="H106" s="251">
        <v>271.79144515021687</v>
      </c>
      <c r="I106" s="251">
        <v>269.20499576634995</v>
      </c>
      <c r="J106" s="251">
        <v>263.39425693045899</v>
      </c>
      <c r="K106" s="251">
        <v>260.02163939935707</v>
      </c>
      <c r="L106" s="251">
        <v>259.88419117283166</v>
      </c>
      <c r="M106" s="251">
        <v>258.39720890018242</v>
      </c>
      <c r="N106" s="251">
        <v>257.1763960457464</v>
      </c>
      <c r="O106" s="251">
        <v>255.06384565402635</v>
      </c>
      <c r="P106" s="251">
        <v>253.44148144086941</v>
      </c>
      <c r="Q106" s="251">
        <v>251.90663232171474</v>
      </c>
    </row>
    <row r="107" spans="1:17" ht="11.4" customHeight="1">
      <c r="A107" s="235" t="s">
        <v>528</v>
      </c>
      <c r="B107" s="251">
        <v>468.76145141417578</v>
      </c>
      <c r="C107" s="251">
        <v>428.62316547778022</v>
      </c>
      <c r="D107" s="251">
        <v>423.41862345107143</v>
      </c>
      <c r="E107" s="251">
        <v>421.83786443715354</v>
      </c>
      <c r="F107" s="251">
        <v>418.78368941473815</v>
      </c>
      <c r="G107" s="251">
        <v>417.46646415509787</v>
      </c>
      <c r="H107" s="251">
        <v>416.63129367083786</v>
      </c>
      <c r="I107" s="251">
        <v>416.21158600786299</v>
      </c>
      <c r="J107" s="251">
        <v>411.65564100895028</v>
      </c>
      <c r="K107" s="251">
        <v>412.09288339473034</v>
      </c>
      <c r="L107" s="251">
        <v>414.70543901250625</v>
      </c>
      <c r="M107" s="251">
        <v>415.82484721770896</v>
      </c>
      <c r="N107" s="251">
        <v>417.49549433327303</v>
      </c>
      <c r="O107" s="251">
        <v>416.64711596664506</v>
      </c>
      <c r="P107" s="251">
        <v>418.23183436700782</v>
      </c>
      <c r="Q107" s="251">
        <v>420.15549129420668</v>
      </c>
    </row>
    <row r="108" spans="1:17" ht="11.4" customHeight="1">
      <c r="A108" s="235" t="s">
        <v>529</v>
      </c>
      <c r="B108" s="251" t="s">
        <v>658</v>
      </c>
      <c r="C108" s="251" t="s">
        <v>658</v>
      </c>
      <c r="D108" s="251" t="s">
        <v>658</v>
      </c>
      <c r="E108" s="251" t="s">
        <v>658</v>
      </c>
      <c r="F108" s="251" t="s">
        <v>658</v>
      </c>
      <c r="G108" s="251" t="s">
        <v>658</v>
      </c>
      <c r="H108" s="251" t="s">
        <v>658</v>
      </c>
      <c r="I108" s="251" t="s">
        <v>658</v>
      </c>
      <c r="J108" s="251" t="s">
        <v>658</v>
      </c>
      <c r="K108" s="251" t="s">
        <v>658</v>
      </c>
      <c r="L108" s="251" t="s">
        <v>658</v>
      </c>
      <c r="M108" s="251" t="s">
        <v>658</v>
      </c>
      <c r="N108" s="251" t="s">
        <v>658</v>
      </c>
      <c r="O108" s="251" t="s">
        <v>658</v>
      </c>
      <c r="P108" s="251" t="s">
        <v>658</v>
      </c>
      <c r="Q108" s="251" t="s">
        <v>658</v>
      </c>
    </row>
    <row r="109" spans="1:17" ht="11.4" customHeight="1">
      <c r="A109" s="235" t="s">
        <v>533</v>
      </c>
      <c r="B109" s="251" t="s">
        <v>658</v>
      </c>
      <c r="C109" s="251" t="s">
        <v>658</v>
      </c>
      <c r="D109" s="251" t="s">
        <v>658</v>
      </c>
      <c r="E109" s="251" t="s">
        <v>658</v>
      </c>
      <c r="F109" s="251">
        <v>174.50749938397132</v>
      </c>
      <c r="G109" s="251">
        <v>174.9423224274737</v>
      </c>
      <c r="H109" s="251">
        <v>175.38558273773515</v>
      </c>
      <c r="I109" s="251">
        <v>175.82455850816149</v>
      </c>
      <c r="J109" s="251">
        <v>176.36095906910992</v>
      </c>
      <c r="K109" s="251">
        <v>176.81120877604366</v>
      </c>
      <c r="L109" s="251">
        <v>177.06730160725417</v>
      </c>
      <c r="M109" s="251">
        <v>177.05612746216099</v>
      </c>
      <c r="N109" s="251">
        <v>177.33843190098796</v>
      </c>
      <c r="O109" s="251">
        <v>177.94910149800091</v>
      </c>
      <c r="P109" s="251">
        <v>178.9845031809933</v>
      </c>
      <c r="Q109" s="251">
        <v>179.95920618029615</v>
      </c>
    </row>
    <row r="110" spans="1:17" ht="11.4" customHeight="1">
      <c r="A110" s="233" t="s">
        <v>544</v>
      </c>
      <c r="B110" s="250">
        <v>43.632272479031329</v>
      </c>
      <c r="C110" s="250">
        <v>46.001086386018564</v>
      </c>
      <c r="D110" s="250">
        <v>46.197864362527959</v>
      </c>
      <c r="E110" s="250">
        <v>47.359425622197868</v>
      </c>
      <c r="F110" s="250">
        <v>48.711493248043162</v>
      </c>
      <c r="G110" s="250">
        <v>50.645800501757094</v>
      </c>
      <c r="H110" s="250">
        <v>48.70257848661376</v>
      </c>
      <c r="I110" s="250">
        <v>51.308713080004843</v>
      </c>
      <c r="J110" s="250">
        <v>50.896050609834433</v>
      </c>
      <c r="K110" s="250">
        <v>55.603772792610023</v>
      </c>
      <c r="L110" s="250">
        <v>53.887551881549527</v>
      </c>
      <c r="M110" s="250">
        <v>50.488270354696915</v>
      </c>
      <c r="N110" s="250">
        <v>48.583185017154392</v>
      </c>
      <c r="O110" s="250">
        <v>50.80182137762494</v>
      </c>
      <c r="P110" s="250">
        <v>53.807234884894534</v>
      </c>
      <c r="Q110" s="250">
        <v>49.398137984539176</v>
      </c>
    </row>
    <row r="111" spans="1:17" ht="11.4" customHeight="1">
      <c r="A111" s="223" t="s">
        <v>538</v>
      </c>
      <c r="B111" s="252">
        <v>44.413238469134548</v>
      </c>
      <c r="C111" s="252">
        <v>47.109086053710456</v>
      </c>
      <c r="D111" s="252">
        <v>47.46062794221654</v>
      </c>
      <c r="E111" s="252">
        <v>48.762206213699628</v>
      </c>
      <c r="F111" s="252">
        <v>50.438503835062853</v>
      </c>
      <c r="G111" s="252">
        <v>52.576460281828609</v>
      </c>
      <c r="H111" s="252">
        <v>50.558995430262151</v>
      </c>
      <c r="I111" s="252">
        <v>53.262775429185119</v>
      </c>
      <c r="J111" s="252">
        <v>52.78233474401452</v>
      </c>
      <c r="K111" s="252">
        <v>57.615488736637026</v>
      </c>
      <c r="L111" s="252">
        <v>55.716790943145938</v>
      </c>
      <c r="M111" s="252">
        <v>52.646301055276986</v>
      </c>
      <c r="N111" s="252">
        <v>50.656748541144005</v>
      </c>
      <c r="O111" s="252">
        <v>53.406068292407454</v>
      </c>
      <c r="P111" s="252">
        <v>56.971818989281644</v>
      </c>
      <c r="Q111" s="252">
        <v>51.822394314530285</v>
      </c>
    </row>
    <row r="112" spans="1:17" ht="11.4" customHeight="1">
      <c r="A112" s="246" t="s">
        <v>539</v>
      </c>
      <c r="B112" s="253">
        <v>33.735318318084374</v>
      </c>
      <c r="C112" s="253">
        <v>32.851747831388337</v>
      </c>
      <c r="D112" s="253">
        <v>31.896630440274958</v>
      </c>
      <c r="E112" s="253">
        <v>31.403076935578312</v>
      </c>
      <c r="F112" s="253">
        <v>31.966413625609523</v>
      </c>
      <c r="G112" s="253">
        <v>32.489814193268685</v>
      </c>
      <c r="H112" s="253">
        <v>31.526489293465186</v>
      </c>
      <c r="I112" s="253">
        <v>33.28836493117899</v>
      </c>
      <c r="J112" s="253">
        <v>33.63094546494365</v>
      </c>
      <c r="K112" s="253">
        <v>35.827413520274469</v>
      </c>
      <c r="L112" s="253">
        <v>35.569854560611624</v>
      </c>
      <c r="M112" s="253">
        <v>33.369756429908904</v>
      </c>
      <c r="N112" s="253">
        <v>34.397785919318231</v>
      </c>
      <c r="O112" s="253">
        <v>34.420577397915793</v>
      </c>
      <c r="P112" s="253">
        <v>35.372531255355803</v>
      </c>
      <c r="Q112" s="253">
        <v>34.45562850496718</v>
      </c>
    </row>
    <row r="114" spans="1:17" ht="11.4" customHeight="1">
      <c r="A114" s="217" t="s">
        <v>548</v>
      </c>
      <c r="B114" s="247"/>
      <c r="C114" s="247"/>
      <c r="D114" s="247"/>
      <c r="E114" s="247"/>
      <c r="F114" s="247"/>
      <c r="G114" s="247"/>
      <c r="H114" s="247"/>
      <c r="I114" s="247"/>
      <c r="J114" s="247"/>
      <c r="K114" s="247"/>
      <c r="L114" s="247"/>
      <c r="M114" s="247"/>
      <c r="N114" s="247"/>
      <c r="O114" s="247"/>
      <c r="P114" s="247"/>
      <c r="Q114" s="247"/>
    </row>
    <row r="115" spans="1:17" ht="11.4" customHeight="1">
      <c r="A115" s="227" t="s">
        <v>522</v>
      </c>
      <c r="B115" s="248"/>
      <c r="C115" s="248"/>
      <c r="D115" s="248"/>
      <c r="E115" s="248"/>
      <c r="F115" s="248"/>
      <c r="G115" s="248"/>
      <c r="H115" s="248"/>
      <c r="I115" s="248"/>
      <c r="J115" s="248"/>
      <c r="K115" s="248"/>
      <c r="L115" s="248"/>
      <c r="M115" s="248"/>
      <c r="N115" s="248"/>
      <c r="O115" s="248"/>
      <c r="P115" s="248"/>
      <c r="Q115" s="248"/>
    </row>
    <row r="116" spans="1:17" ht="11.4" customHeight="1">
      <c r="A116" s="239" t="s">
        <v>542</v>
      </c>
      <c r="B116" s="249">
        <v>227.03811779443237</v>
      </c>
      <c r="C116" s="249">
        <v>219.11606849989863</v>
      </c>
      <c r="D116" s="249">
        <v>215.29184773944098</v>
      </c>
      <c r="E116" s="249">
        <v>219.54533039132369</v>
      </c>
      <c r="F116" s="249">
        <v>191.39737578024489</v>
      </c>
      <c r="G116" s="249">
        <v>196.78075723730251</v>
      </c>
      <c r="H116" s="249">
        <v>182.67473666147086</v>
      </c>
      <c r="I116" s="249">
        <v>188.3532945805091</v>
      </c>
      <c r="J116" s="249">
        <v>169.76301955233399</v>
      </c>
      <c r="K116" s="249">
        <v>166.23021675928473</v>
      </c>
      <c r="L116" s="249">
        <v>151.41928837960066</v>
      </c>
      <c r="M116" s="249">
        <v>149.4342826066937</v>
      </c>
      <c r="N116" s="249">
        <v>143.9884177373477</v>
      </c>
      <c r="O116" s="249">
        <v>137.25485211629876</v>
      </c>
      <c r="P116" s="249">
        <v>141.26077287973126</v>
      </c>
      <c r="Q116" s="249">
        <v>140.86315222788929</v>
      </c>
    </row>
    <row r="117" spans="1:17" ht="11.4" customHeight="1">
      <c r="A117" s="233" t="s">
        <v>525</v>
      </c>
      <c r="B117" s="250">
        <v>1064.7510128431418</v>
      </c>
      <c r="C117" s="250">
        <v>987.52000262199863</v>
      </c>
      <c r="D117" s="250">
        <v>971.16318696212625</v>
      </c>
      <c r="E117" s="250">
        <v>930.43686437174961</v>
      </c>
      <c r="F117" s="250">
        <v>903.08952136493883</v>
      </c>
      <c r="G117" s="250">
        <v>874.55285668556587</v>
      </c>
      <c r="H117" s="250">
        <v>876.89316873042787</v>
      </c>
      <c r="I117" s="250">
        <v>849.73292839854014</v>
      </c>
      <c r="J117" s="250">
        <v>853.63895369796205</v>
      </c>
      <c r="K117" s="250">
        <v>837.47675116784103</v>
      </c>
      <c r="L117" s="250">
        <v>811.70608274440769</v>
      </c>
      <c r="M117" s="250">
        <v>799.93206945516567</v>
      </c>
      <c r="N117" s="250">
        <v>788.49949712458488</v>
      </c>
      <c r="O117" s="250">
        <v>748.69583469107477</v>
      </c>
      <c r="P117" s="250">
        <v>740.40739776914165</v>
      </c>
      <c r="Q117" s="250">
        <v>753.404409579304</v>
      </c>
    </row>
    <row r="118" spans="1:17" ht="11.4" customHeight="1">
      <c r="A118" s="235" t="s">
        <v>526</v>
      </c>
      <c r="B118" s="251">
        <v>1057.7498880041378</v>
      </c>
      <c r="C118" s="251">
        <v>979.71835180957385</v>
      </c>
      <c r="D118" s="251">
        <v>964.67128590078266</v>
      </c>
      <c r="E118" s="251">
        <v>922.02212508959974</v>
      </c>
      <c r="F118" s="251">
        <v>892.95623264062169</v>
      </c>
      <c r="G118" s="251">
        <v>860.81593505351259</v>
      </c>
      <c r="H118" s="251">
        <v>858.83306116319545</v>
      </c>
      <c r="I118" s="251">
        <v>824.14385391824362</v>
      </c>
      <c r="J118" s="251">
        <v>818.94864858836183</v>
      </c>
      <c r="K118" s="251">
        <v>797.65574794923384</v>
      </c>
      <c r="L118" s="251">
        <v>769.09117475491439</v>
      </c>
      <c r="M118" s="251">
        <v>752.24714482890067</v>
      </c>
      <c r="N118" s="251">
        <v>734.50476881538702</v>
      </c>
      <c r="O118" s="251">
        <v>695.7626766957369</v>
      </c>
      <c r="P118" s="251">
        <v>681.00581886534553</v>
      </c>
      <c r="Q118" s="251">
        <v>688.60787273746769</v>
      </c>
    </row>
    <row r="119" spans="1:17" ht="11.4" customHeight="1">
      <c r="A119" s="235" t="s">
        <v>527</v>
      </c>
      <c r="B119" s="251">
        <v>1113.2431291548839</v>
      </c>
      <c r="C119" s="251">
        <v>1037.4822578320407</v>
      </c>
      <c r="D119" s="251">
        <v>1008.6373746558986</v>
      </c>
      <c r="E119" s="251">
        <v>973.05689263222109</v>
      </c>
      <c r="F119" s="251">
        <v>948.22209746497163</v>
      </c>
      <c r="G119" s="251">
        <v>928.70662403654558</v>
      </c>
      <c r="H119" s="251">
        <v>937.83937949335154</v>
      </c>
      <c r="I119" s="251">
        <v>935.8618437115108</v>
      </c>
      <c r="J119" s="251">
        <v>954.91708395938781</v>
      </c>
      <c r="K119" s="251">
        <v>944.40131858593622</v>
      </c>
      <c r="L119" s="251">
        <v>916.07282583219887</v>
      </c>
      <c r="M119" s="251">
        <v>906.37439131134715</v>
      </c>
      <c r="N119" s="251">
        <v>898.88313835503243</v>
      </c>
      <c r="O119" s="251">
        <v>844.96007833566557</v>
      </c>
      <c r="P119" s="251">
        <v>844.41008159614114</v>
      </c>
      <c r="Q119" s="251">
        <v>861.21688849343661</v>
      </c>
    </row>
    <row r="120" spans="1:17" ht="11.4" customHeight="1">
      <c r="A120" s="235" t="s">
        <v>528</v>
      </c>
      <c r="B120" s="251">
        <v>841.55316945612583</v>
      </c>
      <c r="C120" s="251">
        <v>790.37299588966357</v>
      </c>
      <c r="D120" s="251">
        <v>752.57963255305572</v>
      </c>
      <c r="E120" s="251">
        <v>757.2491737533943</v>
      </c>
      <c r="F120" s="251">
        <v>761.12986183060252</v>
      </c>
      <c r="G120" s="251">
        <v>772.1951855554322</v>
      </c>
      <c r="H120" s="251">
        <v>794.89182737503666</v>
      </c>
      <c r="I120" s="251">
        <v>749.42644430991993</v>
      </c>
      <c r="J120" s="251">
        <v>808.31947093536598</v>
      </c>
      <c r="K120" s="251">
        <v>797.40748857950416</v>
      </c>
      <c r="L120" s="251">
        <v>803.0033589624112</v>
      </c>
      <c r="M120" s="251">
        <v>799.78424198307289</v>
      </c>
      <c r="N120" s="251">
        <v>777.10939495375294</v>
      </c>
      <c r="O120" s="251">
        <v>761.13474145064163</v>
      </c>
      <c r="P120" s="251">
        <v>761.4302670263304</v>
      </c>
      <c r="Q120" s="251">
        <v>829.20584727300195</v>
      </c>
    </row>
    <row r="121" spans="1:17" ht="11.4" customHeight="1">
      <c r="A121" s="235" t="s">
        <v>529</v>
      </c>
      <c r="B121" s="251" t="s">
        <v>658</v>
      </c>
      <c r="C121" s="251" t="s">
        <v>658</v>
      </c>
      <c r="D121" s="251" t="s">
        <v>658</v>
      </c>
      <c r="E121" s="251" t="s">
        <v>658</v>
      </c>
      <c r="F121" s="251" t="s">
        <v>658</v>
      </c>
      <c r="G121" s="251" t="s">
        <v>658</v>
      </c>
      <c r="H121" s="251" t="s">
        <v>658</v>
      </c>
      <c r="I121" s="251" t="s">
        <v>658</v>
      </c>
      <c r="J121" s="251" t="s">
        <v>658</v>
      </c>
      <c r="K121" s="251" t="s">
        <v>658</v>
      </c>
      <c r="L121" s="251" t="s">
        <v>658</v>
      </c>
      <c r="M121" s="251" t="s">
        <v>658</v>
      </c>
      <c r="N121" s="251" t="s">
        <v>658</v>
      </c>
      <c r="O121" s="251" t="s">
        <v>658</v>
      </c>
      <c r="P121" s="251" t="s">
        <v>658</v>
      </c>
      <c r="Q121" s="251" t="s">
        <v>658</v>
      </c>
    </row>
    <row r="122" spans="1:17" ht="11.4" customHeight="1">
      <c r="A122" s="235" t="s">
        <v>543</v>
      </c>
      <c r="B122" s="251" t="s">
        <v>658</v>
      </c>
      <c r="C122" s="251" t="s">
        <v>658</v>
      </c>
      <c r="D122" s="251" t="s">
        <v>658</v>
      </c>
      <c r="E122" s="251" t="s">
        <v>658</v>
      </c>
      <c r="F122" s="251" t="s">
        <v>658</v>
      </c>
      <c r="G122" s="251" t="s">
        <v>658</v>
      </c>
      <c r="H122" s="251" t="s">
        <v>658</v>
      </c>
      <c r="I122" s="251" t="s">
        <v>658</v>
      </c>
      <c r="J122" s="251" t="s">
        <v>658</v>
      </c>
      <c r="K122" s="251" t="s">
        <v>658</v>
      </c>
      <c r="L122" s="251" t="s">
        <v>658</v>
      </c>
      <c r="M122" s="251" t="s">
        <v>658</v>
      </c>
      <c r="N122" s="251" t="s">
        <v>658</v>
      </c>
      <c r="O122" s="251">
        <v>221.60532986676321</v>
      </c>
      <c r="P122" s="251">
        <v>355.94166847656629</v>
      </c>
      <c r="Q122" s="251">
        <v>383.36166527683048</v>
      </c>
    </row>
    <row r="123" spans="1:17" ht="11.4" customHeight="1">
      <c r="A123" s="235" t="s">
        <v>533</v>
      </c>
      <c r="B123" s="251" t="s">
        <v>658</v>
      </c>
      <c r="C123" s="251" t="s">
        <v>658</v>
      </c>
      <c r="D123" s="251" t="s">
        <v>658</v>
      </c>
      <c r="E123" s="251" t="s">
        <v>658</v>
      </c>
      <c r="F123" s="251" t="s">
        <v>658</v>
      </c>
      <c r="G123" s="251" t="s">
        <v>658</v>
      </c>
      <c r="H123" s="251" t="s">
        <v>658</v>
      </c>
      <c r="I123" s="251" t="s">
        <v>658</v>
      </c>
      <c r="J123" s="251" t="s">
        <v>658</v>
      </c>
      <c r="K123" s="251" t="s">
        <v>658</v>
      </c>
      <c r="L123" s="251">
        <v>293.74459684641511</v>
      </c>
      <c r="M123" s="251">
        <v>295.06333825384337</v>
      </c>
      <c r="N123" s="251">
        <v>296.37415417657024</v>
      </c>
      <c r="O123" s="251">
        <v>298.51996311542467</v>
      </c>
      <c r="P123" s="251">
        <v>300.4853609888371</v>
      </c>
      <c r="Q123" s="251">
        <v>302.90915569445872</v>
      </c>
    </row>
    <row r="124" spans="1:17" ht="11.4" customHeight="1">
      <c r="A124" s="233" t="s">
        <v>534</v>
      </c>
      <c r="B124" s="250">
        <v>33440.0829927882</v>
      </c>
      <c r="C124" s="250">
        <v>33289.424601318948</v>
      </c>
      <c r="D124" s="250">
        <v>33075.50098341758</v>
      </c>
      <c r="E124" s="250">
        <v>32853.021996882977</v>
      </c>
      <c r="F124" s="250">
        <v>31895.19697727637</v>
      </c>
      <c r="G124" s="250">
        <v>32245.197680503818</v>
      </c>
      <c r="H124" s="250">
        <v>32615.426152831438</v>
      </c>
      <c r="I124" s="250">
        <v>31711.511284438599</v>
      </c>
      <c r="J124" s="250">
        <v>30847.81331168372</v>
      </c>
      <c r="K124" s="250">
        <v>30175.350154665397</v>
      </c>
      <c r="L124" s="250">
        <v>29417.022177702471</v>
      </c>
      <c r="M124" s="250">
        <v>28819.034697080078</v>
      </c>
      <c r="N124" s="250">
        <v>28229.79361398107</v>
      </c>
      <c r="O124" s="250">
        <v>28787.711297320409</v>
      </c>
      <c r="P124" s="250">
        <v>28465.522499444211</v>
      </c>
      <c r="Q124" s="250">
        <v>27839.833114183959</v>
      </c>
    </row>
    <row r="125" spans="1:17" ht="11.4" customHeight="1">
      <c r="A125" s="235" t="s">
        <v>526</v>
      </c>
      <c r="B125" s="252" t="s">
        <v>658</v>
      </c>
      <c r="C125" s="252" t="s">
        <v>658</v>
      </c>
      <c r="D125" s="252" t="s">
        <v>658</v>
      </c>
      <c r="E125" s="252" t="s">
        <v>658</v>
      </c>
      <c r="F125" s="252" t="s">
        <v>658</v>
      </c>
      <c r="G125" s="252" t="s">
        <v>658</v>
      </c>
      <c r="H125" s="252" t="s">
        <v>658</v>
      </c>
      <c r="I125" s="252" t="s">
        <v>658</v>
      </c>
      <c r="J125" s="252" t="s">
        <v>658</v>
      </c>
      <c r="K125" s="252" t="s">
        <v>658</v>
      </c>
      <c r="L125" s="252" t="s">
        <v>658</v>
      </c>
      <c r="M125" s="252" t="s">
        <v>658</v>
      </c>
      <c r="N125" s="252" t="s">
        <v>658</v>
      </c>
      <c r="O125" s="252" t="s">
        <v>658</v>
      </c>
      <c r="P125" s="252" t="s">
        <v>658</v>
      </c>
      <c r="Q125" s="252" t="s">
        <v>658</v>
      </c>
    </row>
    <row r="126" spans="1:17" ht="11.4" customHeight="1">
      <c r="A126" s="235" t="s">
        <v>527</v>
      </c>
      <c r="B126" s="252">
        <v>33465.553514131629</v>
      </c>
      <c r="C126" s="252">
        <v>33313.978875010114</v>
      </c>
      <c r="D126" s="252">
        <v>33100.04462193267</v>
      </c>
      <c r="E126" s="252">
        <v>32880.972959200175</v>
      </c>
      <c r="F126" s="252">
        <v>31922.452304061178</v>
      </c>
      <c r="G126" s="252">
        <v>32275.698582011915</v>
      </c>
      <c r="H126" s="252">
        <v>32632.050003172819</v>
      </c>
      <c r="I126" s="252">
        <v>31725.23178517188</v>
      </c>
      <c r="J126" s="252">
        <v>30872.038767174537</v>
      </c>
      <c r="K126" s="252">
        <v>30199.282200417074</v>
      </c>
      <c r="L126" s="252">
        <v>29443.16430013808</v>
      </c>
      <c r="M126" s="252">
        <v>28847.214325028017</v>
      </c>
      <c r="N126" s="252">
        <v>28260.968098521629</v>
      </c>
      <c r="O126" s="252">
        <v>28812.758310876183</v>
      </c>
      <c r="P126" s="252">
        <v>28488.735759276697</v>
      </c>
      <c r="Q126" s="252">
        <v>27904.075737726973</v>
      </c>
    </row>
    <row r="127" spans="1:17" ht="11.4" customHeight="1">
      <c r="A127" s="235" t="s">
        <v>528</v>
      </c>
      <c r="B127" s="252" t="s">
        <v>658</v>
      </c>
      <c r="C127" s="252" t="s">
        <v>658</v>
      </c>
      <c r="D127" s="252" t="s">
        <v>658</v>
      </c>
      <c r="E127" s="252" t="s">
        <v>658</v>
      </c>
      <c r="F127" s="252" t="s">
        <v>658</v>
      </c>
      <c r="G127" s="252" t="s">
        <v>658</v>
      </c>
      <c r="H127" s="252" t="s">
        <v>658</v>
      </c>
      <c r="I127" s="252" t="s">
        <v>658</v>
      </c>
      <c r="J127" s="252" t="s">
        <v>658</v>
      </c>
      <c r="K127" s="252" t="s">
        <v>658</v>
      </c>
      <c r="L127" s="252" t="s">
        <v>658</v>
      </c>
      <c r="M127" s="252" t="s">
        <v>658</v>
      </c>
      <c r="N127" s="252" t="s">
        <v>658</v>
      </c>
      <c r="O127" s="252" t="s">
        <v>658</v>
      </c>
      <c r="P127" s="252" t="s">
        <v>658</v>
      </c>
      <c r="Q127" s="252" t="s">
        <v>658</v>
      </c>
    </row>
    <row r="128" spans="1:17" ht="11.4" customHeight="1">
      <c r="A128" s="235" t="s">
        <v>529</v>
      </c>
      <c r="B128" s="252" t="s">
        <v>658</v>
      </c>
      <c r="C128" s="252" t="s">
        <v>658</v>
      </c>
      <c r="D128" s="252" t="s">
        <v>658</v>
      </c>
      <c r="E128" s="252" t="s">
        <v>658</v>
      </c>
      <c r="F128" s="252" t="s">
        <v>658</v>
      </c>
      <c r="G128" s="252" t="s">
        <v>658</v>
      </c>
      <c r="H128" s="252" t="s">
        <v>658</v>
      </c>
      <c r="I128" s="252" t="s">
        <v>658</v>
      </c>
      <c r="J128" s="252" t="s">
        <v>658</v>
      </c>
      <c r="K128" s="252" t="s">
        <v>658</v>
      </c>
      <c r="L128" s="252" t="s">
        <v>658</v>
      </c>
      <c r="M128" s="252" t="s">
        <v>658</v>
      </c>
      <c r="N128" s="252" t="s">
        <v>658</v>
      </c>
      <c r="O128" s="252" t="s">
        <v>658</v>
      </c>
      <c r="P128" s="252" t="s">
        <v>658</v>
      </c>
      <c r="Q128" s="252" t="s">
        <v>658</v>
      </c>
    </row>
    <row r="129" spans="1:17" ht="11.4" customHeight="1">
      <c r="A129" s="235" t="s">
        <v>533</v>
      </c>
      <c r="B129" s="252">
        <v>17273.215366928576</v>
      </c>
      <c r="C129" s="252">
        <v>17320.119395550937</v>
      </c>
      <c r="D129" s="252">
        <v>17253.391058929574</v>
      </c>
      <c r="E129" s="252">
        <v>16965.907301573574</v>
      </c>
      <c r="F129" s="252">
        <v>16906.737510217888</v>
      </c>
      <c r="G129" s="252">
        <v>16791.292049348001</v>
      </c>
      <c r="H129" s="252">
        <v>16138.235113347615</v>
      </c>
      <c r="I129" s="252">
        <v>15969.523443116517</v>
      </c>
      <c r="J129" s="252">
        <v>15282.612080901195</v>
      </c>
      <c r="K129" s="252">
        <v>15332.353493109975</v>
      </c>
      <c r="L129" s="252">
        <v>15260.235596466324</v>
      </c>
      <c r="M129" s="252">
        <v>15217.019800003818</v>
      </c>
      <c r="N129" s="252">
        <v>15145.956920441296</v>
      </c>
      <c r="O129" s="252">
        <v>14589.142599172887</v>
      </c>
      <c r="P129" s="252">
        <v>14611.243468112823</v>
      </c>
      <c r="Q129" s="252">
        <v>14386.632990171147</v>
      </c>
    </row>
    <row r="130" spans="1:17" ht="11.4" customHeight="1">
      <c r="A130" s="227" t="s">
        <v>535</v>
      </c>
      <c r="B130" s="248"/>
      <c r="C130" s="248"/>
      <c r="D130" s="248"/>
      <c r="E130" s="248"/>
      <c r="F130" s="248"/>
      <c r="G130" s="248"/>
      <c r="H130" s="248"/>
      <c r="I130" s="248"/>
      <c r="J130" s="248"/>
      <c r="K130" s="248"/>
      <c r="L130" s="248"/>
      <c r="M130" s="248"/>
      <c r="N130" s="248"/>
      <c r="O130" s="248"/>
      <c r="P130" s="248"/>
      <c r="Q130" s="248"/>
    </row>
    <row r="131" spans="1:17" ht="11.4" customHeight="1">
      <c r="A131" s="239" t="s">
        <v>536</v>
      </c>
      <c r="B131" s="249">
        <v>1979.9952086945711</v>
      </c>
      <c r="C131" s="249">
        <v>1906.2246570725724</v>
      </c>
      <c r="D131" s="249">
        <v>1862.5620442912311</v>
      </c>
      <c r="E131" s="249">
        <v>1826.0674607228752</v>
      </c>
      <c r="F131" s="249">
        <v>1752.8870651018274</v>
      </c>
      <c r="G131" s="249">
        <v>1721.7219833637766</v>
      </c>
      <c r="H131" s="249">
        <v>1714.2340421737708</v>
      </c>
      <c r="I131" s="249">
        <v>1698.4587104916409</v>
      </c>
      <c r="J131" s="249">
        <v>1589.0676560231268</v>
      </c>
      <c r="K131" s="249">
        <v>1574.6846518910841</v>
      </c>
      <c r="L131" s="249">
        <v>1598.5548408604241</v>
      </c>
      <c r="M131" s="249">
        <v>1594.0822644123093</v>
      </c>
      <c r="N131" s="249">
        <v>1597.4147857254763</v>
      </c>
      <c r="O131" s="249">
        <v>1585.9643302339337</v>
      </c>
      <c r="P131" s="249">
        <v>1604.4254862091891</v>
      </c>
      <c r="Q131" s="249">
        <v>1632.6976036498852</v>
      </c>
    </row>
    <row r="132" spans="1:17" ht="11.4" customHeight="1">
      <c r="A132" s="235" t="s">
        <v>526</v>
      </c>
      <c r="B132" s="251">
        <v>1721.4237835041024</v>
      </c>
      <c r="C132" s="251">
        <v>1635.09730152968</v>
      </c>
      <c r="D132" s="251">
        <v>1599.2462162904233</v>
      </c>
      <c r="E132" s="251">
        <v>1570.9611860724224</v>
      </c>
      <c r="F132" s="251">
        <v>1477.1182124804307</v>
      </c>
      <c r="G132" s="251">
        <v>1443.1850274576666</v>
      </c>
      <c r="H132" s="251">
        <v>1446.6080844936234</v>
      </c>
      <c r="I132" s="251">
        <v>1437.3052870658771</v>
      </c>
      <c r="J132" s="251">
        <v>1268.76280031482</v>
      </c>
      <c r="K132" s="251">
        <v>1255.4602202818835</v>
      </c>
      <c r="L132" s="251">
        <v>1287.1236113343907</v>
      </c>
      <c r="M132" s="251">
        <v>1257.9989554954789</v>
      </c>
      <c r="N132" s="251">
        <v>1238.3939032743046</v>
      </c>
      <c r="O132" s="251">
        <v>1201.5994745893352</v>
      </c>
      <c r="P132" s="251">
        <v>1214.2979548924673</v>
      </c>
      <c r="Q132" s="251">
        <v>1248.7859352051146</v>
      </c>
    </row>
    <row r="133" spans="1:17" ht="11.4" customHeight="1">
      <c r="A133" s="235" t="s">
        <v>527</v>
      </c>
      <c r="B133" s="251">
        <v>2014.6023226372633</v>
      </c>
      <c r="C133" s="251">
        <v>1940.2118726614069</v>
      </c>
      <c r="D133" s="251">
        <v>1892.9376661010249</v>
      </c>
      <c r="E133" s="251">
        <v>1852.7444817076225</v>
      </c>
      <c r="F133" s="251">
        <v>1779.3875938544595</v>
      </c>
      <c r="G133" s="251">
        <v>1746.0483553446363</v>
      </c>
      <c r="H133" s="251">
        <v>1733.5586556221867</v>
      </c>
      <c r="I133" s="251">
        <v>1713.5481462116461</v>
      </c>
      <c r="J133" s="251">
        <v>1606.0457204379402</v>
      </c>
      <c r="K133" s="251">
        <v>1589.634794835838</v>
      </c>
      <c r="L133" s="251">
        <v>1611.3493571485658</v>
      </c>
      <c r="M133" s="251">
        <v>1608.4026701422365</v>
      </c>
      <c r="N133" s="251">
        <v>1613.0243614511021</v>
      </c>
      <c r="O133" s="251">
        <v>1603.0258984976774</v>
      </c>
      <c r="P133" s="251">
        <v>1622.6086872223793</v>
      </c>
      <c r="Q133" s="251">
        <v>1651.3203720533788</v>
      </c>
    </row>
    <row r="134" spans="1:17" ht="11.4" customHeight="1">
      <c r="A134" s="235" t="s">
        <v>528</v>
      </c>
      <c r="B134" s="251">
        <v>2304.6948298530901</v>
      </c>
      <c r="C134" s="251">
        <v>2072.3565173756942</v>
      </c>
      <c r="D134" s="251">
        <v>2039.2232703162158</v>
      </c>
      <c r="E134" s="251">
        <v>2027.6172761963917</v>
      </c>
      <c r="F134" s="251">
        <v>1972.4530491588359</v>
      </c>
      <c r="G134" s="251">
        <v>1957.4218276896086</v>
      </c>
      <c r="H134" s="251">
        <v>1960.6068045390855</v>
      </c>
      <c r="I134" s="251">
        <v>1960.6794019848644</v>
      </c>
      <c r="J134" s="251">
        <v>1853.2195795110304</v>
      </c>
      <c r="K134" s="251">
        <v>1865.3387306381771</v>
      </c>
      <c r="L134" s="251">
        <v>1910.8712938279396</v>
      </c>
      <c r="M134" s="251">
        <v>1925.1423751334662</v>
      </c>
      <c r="N134" s="251">
        <v>1949.6420150726412</v>
      </c>
      <c r="O134" s="251">
        <v>1950.4159481558654</v>
      </c>
      <c r="P134" s="251">
        <v>1997.4363992569133</v>
      </c>
      <c r="Q134" s="251">
        <v>2058.6178504041909</v>
      </c>
    </row>
    <row r="135" spans="1:17" ht="11.4" customHeight="1">
      <c r="A135" s="235" t="s">
        <v>529</v>
      </c>
      <c r="B135" s="251" t="s">
        <v>658</v>
      </c>
      <c r="C135" s="251" t="s">
        <v>658</v>
      </c>
      <c r="D135" s="251" t="s">
        <v>658</v>
      </c>
      <c r="E135" s="251" t="s">
        <v>658</v>
      </c>
      <c r="F135" s="251" t="s">
        <v>658</v>
      </c>
      <c r="G135" s="251" t="s">
        <v>658</v>
      </c>
      <c r="H135" s="251" t="s">
        <v>658</v>
      </c>
      <c r="I135" s="251" t="s">
        <v>658</v>
      </c>
      <c r="J135" s="251" t="s">
        <v>658</v>
      </c>
      <c r="K135" s="251" t="s">
        <v>658</v>
      </c>
      <c r="L135" s="251" t="s">
        <v>658</v>
      </c>
      <c r="M135" s="251" t="s">
        <v>658</v>
      </c>
      <c r="N135" s="251" t="s">
        <v>658</v>
      </c>
      <c r="O135" s="251" t="s">
        <v>658</v>
      </c>
      <c r="P135" s="251" t="s">
        <v>658</v>
      </c>
      <c r="Q135" s="251" t="s">
        <v>658</v>
      </c>
    </row>
    <row r="136" spans="1:17" ht="11.4" customHeight="1">
      <c r="A136" s="235" t="s">
        <v>533</v>
      </c>
      <c r="B136" s="251" t="s">
        <v>658</v>
      </c>
      <c r="C136" s="251" t="s">
        <v>658</v>
      </c>
      <c r="D136" s="251" t="s">
        <v>658</v>
      </c>
      <c r="E136" s="251" t="s">
        <v>658</v>
      </c>
      <c r="F136" s="251">
        <v>596.02013076414153</v>
      </c>
      <c r="G136" s="251">
        <v>597.65605682301725</v>
      </c>
      <c r="H136" s="251">
        <v>599.25106164620706</v>
      </c>
      <c r="I136" s="251">
        <v>600.75793308111656</v>
      </c>
      <c r="J136" s="251">
        <v>603.91672933060147</v>
      </c>
      <c r="K136" s="251">
        <v>605.59278966003228</v>
      </c>
      <c r="L136" s="251">
        <v>606.96097900070924</v>
      </c>
      <c r="M136" s="251">
        <v>607.03668853515671</v>
      </c>
      <c r="N136" s="251">
        <v>608.23147878013674</v>
      </c>
      <c r="O136" s="251">
        <v>610.37333268063503</v>
      </c>
      <c r="P136" s="251">
        <v>614.48710363841951</v>
      </c>
      <c r="Q136" s="251">
        <v>618.56294065433553</v>
      </c>
    </row>
    <row r="137" spans="1:17" ht="11.4" customHeight="1">
      <c r="A137" s="233" t="s">
        <v>544</v>
      </c>
      <c r="B137" s="250">
        <v>12727.559673480457</v>
      </c>
      <c r="C137" s="250">
        <v>13476.887883522533</v>
      </c>
      <c r="D137" s="250">
        <v>13649.158210160236</v>
      </c>
      <c r="E137" s="250">
        <v>14243.221627174258</v>
      </c>
      <c r="F137" s="250">
        <v>14679.892027799033</v>
      </c>
      <c r="G137" s="250">
        <v>15689.474632411675</v>
      </c>
      <c r="H137" s="250">
        <v>15545.043375219653</v>
      </c>
      <c r="I137" s="250">
        <v>16986.571469061008</v>
      </c>
      <c r="J137" s="250">
        <v>16255.990580558828</v>
      </c>
      <c r="K137" s="250">
        <v>15515.666673898699</v>
      </c>
      <c r="L137" s="250">
        <v>15854.088059847874</v>
      </c>
      <c r="M137" s="250">
        <v>15197.66282857935</v>
      </c>
      <c r="N137" s="250">
        <v>15080.923541380538</v>
      </c>
      <c r="O137" s="250">
        <v>14315.675840732525</v>
      </c>
      <c r="P137" s="250">
        <v>14389.3828761318</v>
      </c>
      <c r="Q137" s="250">
        <v>12564.209055180821</v>
      </c>
    </row>
    <row r="138" spans="1:17" ht="11.4" customHeight="1">
      <c r="A138" s="223" t="s">
        <v>538</v>
      </c>
      <c r="B138" s="252">
        <v>12228.426175159255</v>
      </c>
      <c r="C138" s="252">
        <v>12978.683722605499</v>
      </c>
      <c r="D138" s="252">
        <v>13148.972203274081</v>
      </c>
      <c r="E138" s="252">
        <v>13761.64926305591</v>
      </c>
      <c r="F138" s="252">
        <v>14117.96983809003</v>
      </c>
      <c r="G138" s="252">
        <v>15104.838314250948</v>
      </c>
      <c r="H138" s="252">
        <v>14956.527192616122</v>
      </c>
      <c r="I138" s="252">
        <v>16354.728417106242</v>
      </c>
      <c r="J138" s="252">
        <v>15617.240080660715</v>
      </c>
      <c r="K138" s="252">
        <v>14924.757750715857</v>
      </c>
      <c r="L138" s="252">
        <v>15244.604120610054</v>
      </c>
      <c r="M138" s="252">
        <v>14482.869532250243</v>
      </c>
      <c r="N138" s="252">
        <v>14192.399934036466</v>
      </c>
      <c r="O138" s="252">
        <v>13421.468457810863</v>
      </c>
      <c r="P138" s="252">
        <v>13445.599085350963</v>
      </c>
      <c r="Q138" s="252">
        <v>11692.020982717728</v>
      </c>
    </row>
    <row r="139" spans="1:17" ht="11.4" customHeight="1">
      <c r="A139" s="246" t="s">
        <v>539</v>
      </c>
      <c r="B139" s="253">
        <v>39897.542572935214</v>
      </c>
      <c r="C139" s="253">
        <v>38867.603307538171</v>
      </c>
      <c r="D139" s="253">
        <v>38023.353094759717</v>
      </c>
      <c r="E139" s="253">
        <v>37293.910482732179</v>
      </c>
      <c r="F139" s="253">
        <v>37537.364845279866</v>
      </c>
      <c r="G139" s="253">
        <v>38175.49505957029</v>
      </c>
      <c r="H139" s="253">
        <v>37354.175916664586</v>
      </c>
      <c r="I139" s="253">
        <v>39509.336170134098</v>
      </c>
      <c r="J139" s="253">
        <v>39412.434155846058</v>
      </c>
      <c r="K139" s="253">
        <v>41476.533394059094</v>
      </c>
      <c r="L139" s="253">
        <v>42517.916595317191</v>
      </c>
      <c r="M139" s="253">
        <v>39749.026160174573</v>
      </c>
      <c r="N139" s="253">
        <v>40839.937564150896</v>
      </c>
      <c r="O139" s="253">
        <v>40930.296890490084</v>
      </c>
      <c r="P139" s="253">
        <v>42145.185556078592</v>
      </c>
      <c r="Q139" s="253">
        <v>40733.220299839493</v>
      </c>
    </row>
    <row r="141" spans="1:17" ht="11.4" customHeight="1">
      <c r="A141" s="217" t="s">
        <v>549</v>
      </c>
      <c r="B141" s="254">
        <f t="shared" ref="B141:Q143" si="10">IF(B17=0,0,B17/B$17)</f>
        <v>1</v>
      </c>
      <c r="C141" s="254">
        <f t="shared" si="10"/>
        <v>1</v>
      </c>
      <c r="D141" s="254">
        <f t="shared" si="10"/>
        <v>1</v>
      </c>
      <c r="E141" s="254">
        <f t="shared" si="10"/>
        <v>1</v>
      </c>
      <c r="F141" s="254">
        <f t="shared" si="10"/>
        <v>1</v>
      </c>
      <c r="G141" s="254">
        <f t="shared" si="10"/>
        <v>1</v>
      </c>
      <c r="H141" s="254">
        <f t="shared" si="10"/>
        <v>1</v>
      </c>
      <c r="I141" s="254">
        <f t="shared" si="10"/>
        <v>1</v>
      </c>
      <c r="J141" s="254">
        <f t="shared" si="10"/>
        <v>1</v>
      </c>
      <c r="K141" s="254">
        <f t="shared" si="10"/>
        <v>1</v>
      </c>
      <c r="L141" s="254">
        <f t="shared" si="10"/>
        <v>1</v>
      </c>
      <c r="M141" s="254">
        <f t="shared" si="10"/>
        <v>1</v>
      </c>
      <c r="N141" s="254">
        <f t="shared" si="10"/>
        <v>1</v>
      </c>
      <c r="O141" s="254">
        <f t="shared" si="10"/>
        <v>1</v>
      </c>
      <c r="P141" s="254">
        <f t="shared" si="10"/>
        <v>1</v>
      </c>
      <c r="Q141" s="254">
        <f t="shared" si="10"/>
        <v>1</v>
      </c>
    </row>
    <row r="142" spans="1:17" ht="11.4" customHeight="1">
      <c r="A142" s="227" t="s">
        <v>522</v>
      </c>
      <c r="B142" s="255">
        <f t="shared" si="10"/>
        <v>0.7017262395397903</v>
      </c>
      <c r="C142" s="255">
        <f t="shared" si="10"/>
        <v>0.69057271510730311</v>
      </c>
      <c r="D142" s="255">
        <f t="shared" si="10"/>
        <v>0.68932603411113347</v>
      </c>
      <c r="E142" s="255">
        <f t="shared" si="10"/>
        <v>0.67636714791333741</v>
      </c>
      <c r="F142" s="255">
        <f t="shared" si="10"/>
        <v>0.67020554440701841</v>
      </c>
      <c r="G142" s="255">
        <f t="shared" si="10"/>
        <v>0.65893019829814292</v>
      </c>
      <c r="H142" s="255">
        <f t="shared" si="10"/>
        <v>0.66046221743979927</v>
      </c>
      <c r="I142" s="255">
        <f t="shared" si="10"/>
        <v>0.64118527408137171</v>
      </c>
      <c r="J142" s="255">
        <f t="shared" si="10"/>
        <v>0.6525480495637711</v>
      </c>
      <c r="K142" s="255">
        <f t="shared" si="10"/>
        <v>0.65589894222762524</v>
      </c>
      <c r="L142" s="255">
        <f t="shared" si="10"/>
        <v>0.64627842419344395</v>
      </c>
      <c r="M142" s="255">
        <f t="shared" si="10"/>
        <v>0.6460275420798981</v>
      </c>
      <c r="N142" s="255">
        <f t="shared" si="10"/>
        <v>0.64376374827333283</v>
      </c>
      <c r="O142" s="255">
        <f t="shared" si="10"/>
        <v>0.64503231531039651</v>
      </c>
      <c r="P142" s="255">
        <f t="shared" si="10"/>
        <v>0.63646090016474455</v>
      </c>
      <c r="Q142" s="255">
        <f t="shared" si="10"/>
        <v>0.63116053489958068</v>
      </c>
    </row>
    <row r="143" spans="1:17" ht="11.4" customHeight="1">
      <c r="A143" s="256" t="s">
        <v>542</v>
      </c>
      <c r="B143" s="257">
        <f t="shared" si="10"/>
        <v>5.5860248695745931E-3</v>
      </c>
      <c r="C143" s="257">
        <f t="shared" si="10"/>
        <v>5.7270570905345068E-3</v>
      </c>
      <c r="D143" s="257">
        <f t="shared" si="10"/>
        <v>5.9026417902174333E-3</v>
      </c>
      <c r="E143" s="257">
        <f t="shared" si="10"/>
        <v>6.4357667070816587E-3</v>
      </c>
      <c r="F143" s="257">
        <f t="shared" si="10"/>
        <v>5.8372512276727634E-3</v>
      </c>
      <c r="G143" s="257">
        <f t="shared" si="10"/>
        <v>6.0610958679534789E-3</v>
      </c>
      <c r="H143" s="257">
        <f t="shared" si="10"/>
        <v>5.6166874104977031E-3</v>
      </c>
      <c r="I143" s="257">
        <f t="shared" si="10"/>
        <v>5.9024757244769636E-3</v>
      </c>
      <c r="J143" s="257">
        <f t="shared" si="10"/>
        <v>5.5959264882897352E-3</v>
      </c>
      <c r="K143" s="257">
        <f t="shared" si="10"/>
        <v>5.6570373660383543E-3</v>
      </c>
      <c r="L143" s="257">
        <f t="shared" si="10"/>
        <v>5.0458452834825146E-3</v>
      </c>
      <c r="M143" s="257">
        <f t="shared" si="10"/>
        <v>5.0591596869264607E-3</v>
      </c>
      <c r="N143" s="257">
        <f t="shared" si="10"/>
        <v>4.8341255529957524E-3</v>
      </c>
      <c r="O143" s="257">
        <f t="shared" si="10"/>
        <v>4.6108360956540187E-3</v>
      </c>
      <c r="P143" s="257">
        <f t="shared" si="10"/>
        <v>4.6509535862235213E-3</v>
      </c>
      <c r="Q143" s="257">
        <f t="shared" si="10"/>
        <v>4.622098593165873E-3</v>
      </c>
    </row>
    <row r="144" spans="1:17" ht="11.4" customHeight="1">
      <c r="A144" s="258" t="s">
        <v>525</v>
      </c>
      <c r="B144" s="259">
        <f t="shared" ref="B144:Q145" si="11">IF(B21=0,0,B21/B$17)</f>
        <v>0.65843321525768572</v>
      </c>
      <c r="C144" s="259">
        <f t="shared" si="11"/>
        <v>0.64735651129057303</v>
      </c>
      <c r="D144" s="259">
        <f t="shared" si="11"/>
        <v>0.64635988752629447</v>
      </c>
      <c r="E144" s="259">
        <f t="shared" si="11"/>
        <v>0.63265068225242782</v>
      </c>
      <c r="F144" s="259">
        <f t="shared" si="11"/>
        <v>0.62784893668864894</v>
      </c>
      <c r="G144" s="259">
        <f t="shared" si="11"/>
        <v>0.61694125704030567</v>
      </c>
      <c r="H144" s="259">
        <f t="shared" si="11"/>
        <v>0.61872573610744752</v>
      </c>
      <c r="I144" s="259">
        <f t="shared" si="11"/>
        <v>0.60052127811384526</v>
      </c>
      <c r="J144" s="259">
        <f t="shared" si="11"/>
        <v>0.61186890812571937</v>
      </c>
      <c r="K144" s="259">
        <f t="shared" si="11"/>
        <v>0.61606943524107494</v>
      </c>
      <c r="L144" s="259">
        <f t="shared" si="11"/>
        <v>0.60800346403323358</v>
      </c>
      <c r="M144" s="259">
        <f t="shared" si="11"/>
        <v>0.60855881530696043</v>
      </c>
      <c r="N144" s="259">
        <f t="shared" si="11"/>
        <v>0.60739639736426709</v>
      </c>
      <c r="O144" s="259">
        <f t="shared" si="11"/>
        <v>0.60818818528766305</v>
      </c>
      <c r="P144" s="259">
        <f t="shared" si="11"/>
        <v>0.6006374336844279</v>
      </c>
      <c r="Q144" s="259">
        <f t="shared" si="11"/>
        <v>0.59678098714679662</v>
      </c>
    </row>
    <row r="145" spans="1:17" ht="11.4" customHeight="1">
      <c r="A145" s="260" t="s">
        <v>526</v>
      </c>
      <c r="B145" s="261">
        <f t="shared" si="11"/>
        <v>0.56908770783196627</v>
      </c>
      <c r="C145" s="261">
        <f t="shared" si="11"/>
        <v>0.5532625792710818</v>
      </c>
      <c r="D145" s="261">
        <f t="shared" si="11"/>
        <v>0.54398733192640725</v>
      </c>
      <c r="E145" s="261">
        <f t="shared" si="11"/>
        <v>0.52119884941575167</v>
      </c>
      <c r="F145" s="261">
        <f t="shared" si="11"/>
        <v>0.50508810218389744</v>
      </c>
      <c r="G145" s="261">
        <f t="shared" si="11"/>
        <v>0.48311642599613508</v>
      </c>
      <c r="H145" s="261">
        <f t="shared" si="11"/>
        <v>0.46642007368798849</v>
      </c>
      <c r="I145" s="261">
        <f t="shared" si="11"/>
        <v>0.44846021910299627</v>
      </c>
      <c r="J145" s="261">
        <f t="shared" si="11"/>
        <v>0.43663660531573889</v>
      </c>
      <c r="K145" s="261">
        <f t="shared" si="11"/>
        <v>0.42700701052651441</v>
      </c>
      <c r="L145" s="261">
        <f t="shared" si="11"/>
        <v>0.4086418743983653</v>
      </c>
      <c r="M145" s="261">
        <f t="shared" si="11"/>
        <v>0.39482359785856397</v>
      </c>
      <c r="N145" s="261">
        <f t="shared" si="11"/>
        <v>0.37949135920304111</v>
      </c>
      <c r="O145" s="261">
        <f t="shared" si="11"/>
        <v>0.36413462471466757</v>
      </c>
      <c r="P145" s="261">
        <f t="shared" si="11"/>
        <v>0.35035788372830734</v>
      </c>
      <c r="Q145" s="261">
        <f t="shared" si="11"/>
        <v>0.33806662399861009</v>
      </c>
    </row>
    <row r="146" spans="1:17" ht="11.4" customHeight="1">
      <c r="A146" s="260" t="s">
        <v>527</v>
      </c>
      <c r="B146" s="261">
        <f t="shared" ref="B146:Q146" si="12">IF(B24=0,0,B24/B$17)</f>
        <v>8.8940353530919405E-2</v>
      </c>
      <c r="C146" s="261">
        <f t="shared" si="12"/>
        <v>9.3671928999293719E-2</v>
      </c>
      <c r="D146" s="261">
        <f t="shared" si="12"/>
        <v>0.10193717142262093</v>
      </c>
      <c r="E146" s="261">
        <f t="shared" si="12"/>
        <v>0.11099335324333195</v>
      </c>
      <c r="F146" s="261">
        <f t="shared" si="12"/>
        <v>0.12228540645928793</v>
      </c>
      <c r="G146" s="261">
        <f t="shared" si="12"/>
        <v>0.13333301970874098</v>
      </c>
      <c r="H146" s="261">
        <f t="shared" si="12"/>
        <v>0.15177331887374135</v>
      </c>
      <c r="I146" s="261">
        <f t="shared" si="12"/>
        <v>0.15175087324523545</v>
      </c>
      <c r="J146" s="261">
        <f t="shared" si="12"/>
        <v>0.17468128508117489</v>
      </c>
      <c r="K146" s="261">
        <f t="shared" si="12"/>
        <v>0.18852249375424265</v>
      </c>
      <c r="L146" s="261">
        <f t="shared" si="12"/>
        <v>0.19881044342269497</v>
      </c>
      <c r="M146" s="261">
        <f t="shared" si="12"/>
        <v>0.21325550108773089</v>
      </c>
      <c r="N146" s="261">
        <f t="shared" si="12"/>
        <v>0.22749480713284773</v>
      </c>
      <c r="O146" s="261">
        <f t="shared" si="12"/>
        <v>0.24366202004202575</v>
      </c>
      <c r="P146" s="261">
        <f t="shared" si="12"/>
        <v>0.24980194531012964</v>
      </c>
      <c r="Q146" s="261">
        <f t="shared" si="12"/>
        <v>0.25797743894502301</v>
      </c>
    </row>
    <row r="147" spans="1:17" ht="11.4" customHeight="1">
      <c r="A147" s="260" t="s">
        <v>528</v>
      </c>
      <c r="B147" s="261">
        <f t="shared" ref="B147:Q148" si="13">IF(B26=0,0,B26/B$17)</f>
        <v>4.0515389479990876E-4</v>
      </c>
      <c r="C147" s="261">
        <f t="shared" si="13"/>
        <v>4.2200302019747374E-4</v>
      </c>
      <c r="D147" s="261">
        <f t="shared" si="13"/>
        <v>4.3538417726634822E-4</v>
      </c>
      <c r="E147" s="261">
        <f t="shared" si="13"/>
        <v>4.5847959334417812E-4</v>
      </c>
      <c r="F147" s="261">
        <f t="shared" si="13"/>
        <v>4.7542804546366941E-4</v>
      </c>
      <c r="G147" s="261">
        <f t="shared" si="13"/>
        <v>4.9181133542956822E-4</v>
      </c>
      <c r="H147" s="261">
        <f t="shared" si="13"/>
        <v>5.3234354571765044E-4</v>
      </c>
      <c r="I147" s="261">
        <f t="shared" si="13"/>
        <v>3.1018576561345191E-4</v>
      </c>
      <c r="J147" s="261">
        <f t="shared" si="13"/>
        <v>5.5101772880559172E-4</v>
      </c>
      <c r="K147" s="261">
        <f t="shared" si="13"/>
        <v>5.3993096031788228E-4</v>
      </c>
      <c r="L147" s="261">
        <f t="shared" si="13"/>
        <v>5.5024817198013861E-4</v>
      </c>
      <c r="M147" s="261">
        <f t="shared" si="13"/>
        <v>4.7022235499364848E-4</v>
      </c>
      <c r="N147" s="261">
        <f t="shared" si="13"/>
        <v>3.8989028941027981E-4</v>
      </c>
      <c r="O147" s="261">
        <f t="shared" si="13"/>
        <v>3.5043272829631049E-4</v>
      </c>
      <c r="P147" s="261">
        <f t="shared" si="13"/>
        <v>3.1138117026508372E-4</v>
      </c>
      <c r="Q147" s="261">
        <f t="shared" si="13"/>
        <v>2.9948644073773723E-4</v>
      </c>
    </row>
    <row r="148" spans="1:17" ht="11.4" customHeight="1">
      <c r="A148" s="260" t="s">
        <v>529</v>
      </c>
      <c r="B148" s="261">
        <f t="shared" si="13"/>
        <v>0</v>
      </c>
      <c r="C148" s="261">
        <f t="shared" si="13"/>
        <v>0</v>
      </c>
      <c r="D148" s="261">
        <f t="shared" si="13"/>
        <v>0</v>
      </c>
      <c r="E148" s="261">
        <f t="shared" si="13"/>
        <v>0</v>
      </c>
      <c r="F148" s="261">
        <f t="shared" si="13"/>
        <v>0</v>
      </c>
      <c r="G148" s="261">
        <f t="shared" si="13"/>
        <v>0</v>
      </c>
      <c r="H148" s="261">
        <f t="shared" si="13"/>
        <v>0</v>
      </c>
      <c r="I148" s="261">
        <f t="shared" si="13"/>
        <v>0</v>
      </c>
      <c r="J148" s="261">
        <f t="shared" si="13"/>
        <v>0</v>
      </c>
      <c r="K148" s="261">
        <f t="shared" si="13"/>
        <v>0</v>
      </c>
      <c r="L148" s="261">
        <f t="shared" si="13"/>
        <v>0</v>
      </c>
      <c r="M148" s="261">
        <f t="shared" si="13"/>
        <v>0</v>
      </c>
      <c r="N148" s="261">
        <f t="shared" si="13"/>
        <v>0</v>
      </c>
      <c r="O148" s="261">
        <f t="shared" si="13"/>
        <v>0</v>
      </c>
      <c r="P148" s="261">
        <f t="shared" si="13"/>
        <v>0</v>
      </c>
      <c r="Q148" s="261">
        <f t="shared" si="13"/>
        <v>0</v>
      </c>
    </row>
    <row r="149" spans="1:17" ht="11.4" customHeight="1">
      <c r="A149" s="260" t="s">
        <v>543</v>
      </c>
      <c r="B149" s="261">
        <f t="shared" ref="B149:Q149" si="14">IF(B29=0,0,B29/B$17)</f>
        <v>0</v>
      </c>
      <c r="C149" s="261">
        <f t="shared" si="14"/>
        <v>0</v>
      </c>
      <c r="D149" s="261">
        <f t="shared" si="14"/>
        <v>0</v>
      </c>
      <c r="E149" s="261">
        <f t="shared" si="14"/>
        <v>0</v>
      </c>
      <c r="F149" s="261">
        <f t="shared" si="14"/>
        <v>0</v>
      </c>
      <c r="G149" s="261">
        <f t="shared" si="14"/>
        <v>0</v>
      </c>
      <c r="H149" s="261">
        <f t="shared" si="14"/>
        <v>0</v>
      </c>
      <c r="I149" s="261">
        <f t="shared" si="14"/>
        <v>0</v>
      </c>
      <c r="J149" s="261">
        <f t="shared" si="14"/>
        <v>0</v>
      </c>
      <c r="K149" s="261">
        <f t="shared" si="14"/>
        <v>0</v>
      </c>
      <c r="L149" s="261">
        <f t="shared" si="14"/>
        <v>0</v>
      </c>
      <c r="M149" s="261">
        <f t="shared" si="14"/>
        <v>0</v>
      </c>
      <c r="N149" s="261">
        <f t="shared" si="14"/>
        <v>0</v>
      </c>
      <c r="O149" s="261">
        <f t="shared" si="14"/>
        <v>5.0278245918743545E-7</v>
      </c>
      <c r="P149" s="261">
        <f t="shared" si="14"/>
        <v>7.3025517904130456E-5</v>
      </c>
      <c r="Q149" s="261">
        <f t="shared" si="14"/>
        <v>2.6692121470121735E-4</v>
      </c>
    </row>
    <row r="150" spans="1:17" ht="11.4" customHeight="1">
      <c r="A150" s="260" t="s">
        <v>533</v>
      </c>
      <c r="B150" s="261">
        <f t="shared" ref="B150:Q152" si="15">IF(B32=0,0,B32/B$17)</f>
        <v>0</v>
      </c>
      <c r="C150" s="261">
        <f t="shared" si="15"/>
        <v>0</v>
      </c>
      <c r="D150" s="261">
        <f t="shared" si="15"/>
        <v>0</v>
      </c>
      <c r="E150" s="261">
        <f t="shared" si="15"/>
        <v>0</v>
      </c>
      <c r="F150" s="261">
        <f t="shared" si="15"/>
        <v>0</v>
      </c>
      <c r="G150" s="261">
        <f t="shared" si="15"/>
        <v>0</v>
      </c>
      <c r="H150" s="261">
        <f t="shared" si="15"/>
        <v>0</v>
      </c>
      <c r="I150" s="261">
        <f t="shared" si="15"/>
        <v>0</v>
      </c>
      <c r="J150" s="261">
        <f t="shared" si="15"/>
        <v>0</v>
      </c>
      <c r="K150" s="261">
        <f t="shared" si="15"/>
        <v>0</v>
      </c>
      <c r="L150" s="261">
        <f t="shared" si="15"/>
        <v>8.9804019326152981E-7</v>
      </c>
      <c r="M150" s="261">
        <f t="shared" si="15"/>
        <v>9.4940056719749027E-6</v>
      </c>
      <c r="N150" s="261">
        <f t="shared" si="15"/>
        <v>2.0340738967995975E-5</v>
      </c>
      <c r="O150" s="261">
        <f t="shared" si="15"/>
        <v>4.0605020214218945E-5</v>
      </c>
      <c r="P150" s="261">
        <f t="shared" si="15"/>
        <v>9.3197957821613373E-5</v>
      </c>
      <c r="Q150" s="261">
        <f t="shared" si="15"/>
        <v>1.7051654772455007E-4</v>
      </c>
    </row>
    <row r="151" spans="1:17" ht="11.4" customHeight="1">
      <c r="A151" s="258" t="s">
        <v>534</v>
      </c>
      <c r="B151" s="259">
        <f t="shared" si="15"/>
        <v>3.7706999412529911E-2</v>
      </c>
      <c r="C151" s="259">
        <f t="shared" si="15"/>
        <v>3.7489146726195639E-2</v>
      </c>
      <c r="D151" s="259">
        <f t="shared" si="15"/>
        <v>3.7063504794621546E-2</v>
      </c>
      <c r="E151" s="259">
        <f t="shared" si="15"/>
        <v>3.7280698953827976E-2</v>
      </c>
      <c r="F151" s="259">
        <f t="shared" si="15"/>
        <v>3.6519356490696694E-2</v>
      </c>
      <c r="G151" s="259">
        <f t="shared" si="15"/>
        <v>3.5927845389883674E-2</v>
      </c>
      <c r="H151" s="259">
        <f t="shared" si="15"/>
        <v>3.6119793921854083E-2</v>
      </c>
      <c r="I151" s="259">
        <f t="shared" si="15"/>
        <v>3.4761520243049633E-2</v>
      </c>
      <c r="J151" s="259">
        <f t="shared" si="15"/>
        <v>3.5083214949762055E-2</v>
      </c>
      <c r="K151" s="259">
        <f t="shared" si="15"/>
        <v>3.4172469620512E-2</v>
      </c>
      <c r="L151" s="259">
        <f t="shared" si="15"/>
        <v>3.3229114876727771E-2</v>
      </c>
      <c r="M151" s="259">
        <f t="shared" si="15"/>
        <v>3.2409567086011302E-2</v>
      </c>
      <c r="N151" s="259">
        <f t="shared" si="15"/>
        <v>3.1533225356069873E-2</v>
      </c>
      <c r="O151" s="259">
        <f t="shared" si="15"/>
        <v>3.2233293927079493E-2</v>
      </c>
      <c r="P151" s="259">
        <f t="shared" si="15"/>
        <v>3.1172512894093108E-2</v>
      </c>
      <c r="Q151" s="259">
        <f t="shared" si="15"/>
        <v>2.9757449159618126E-2</v>
      </c>
    </row>
    <row r="152" spans="1:17" ht="11.4" customHeight="1">
      <c r="A152" s="260" t="s">
        <v>526</v>
      </c>
      <c r="B152" s="261">
        <f t="shared" si="15"/>
        <v>0</v>
      </c>
      <c r="C152" s="261">
        <f t="shared" si="15"/>
        <v>0</v>
      </c>
      <c r="D152" s="261">
        <f t="shared" si="15"/>
        <v>0</v>
      </c>
      <c r="E152" s="261">
        <f t="shared" si="15"/>
        <v>0</v>
      </c>
      <c r="F152" s="261">
        <f t="shared" si="15"/>
        <v>0</v>
      </c>
      <c r="G152" s="261">
        <f t="shared" si="15"/>
        <v>0</v>
      </c>
      <c r="H152" s="261">
        <f t="shared" si="15"/>
        <v>0</v>
      </c>
      <c r="I152" s="261">
        <f t="shared" si="15"/>
        <v>0</v>
      </c>
      <c r="J152" s="261">
        <f t="shared" si="15"/>
        <v>0</v>
      </c>
      <c r="K152" s="261">
        <f t="shared" si="15"/>
        <v>0</v>
      </c>
      <c r="L152" s="261">
        <f t="shared" si="15"/>
        <v>0</v>
      </c>
      <c r="M152" s="261">
        <f t="shared" si="15"/>
        <v>0</v>
      </c>
      <c r="N152" s="261">
        <f t="shared" si="15"/>
        <v>0</v>
      </c>
      <c r="O152" s="261">
        <f t="shared" si="15"/>
        <v>0</v>
      </c>
      <c r="P152" s="261">
        <f t="shared" si="15"/>
        <v>0</v>
      </c>
      <c r="Q152" s="261">
        <f t="shared" si="15"/>
        <v>0</v>
      </c>
    </row>
    <row r="153" spans="1:17" ht="11.4" customHeight="1">
      <c r="A153" s="260" t="s">
        <v>527</v>
      </c>
      <c r="B153" s="261">
        <f t="shared" ref="B153:Q153" si="16">IF(B36=0,0,B36/B$17)</f>
        <v>3.7676361717754771E-2</v>
      </c>
      <c r="C153" s="261">
        <f t="shared" si="16"/>
        <v>3.7459201750495989E-2</v>
      </c>
      <c r="D153" s="261">
        <f t="shared" si="16"/>
        <v>3.7033560374869857E-2</v>
      </c>
      <c r="E153" s="261">
        <f t="shared" si="16"/>
        <v>3.7246886698372859E-2</v>
      </c>
      <c r="F153" s="261">
        <f t="shared" si="16"/>
        <v>3.6484219624867469E-2</v>
      </c>
      <c r="G153" s="261">
        <f t="shared" si="16"/>
        <v>3.5890992771013937E-2</v>
      </c>
      <c r="H153" s="261">
        <f t="shared" si="16"/>
        <v>3.6101780809868277E-2</v>
      </c>
      <c r="I153" s="261">
        <f t="shared" si="16"/>
        <v>3.4746276002038494E-2</v>
      </c>
      <c r="J153" s="261">
        <f t="shared" si="16"/>
        <v>3.5056205583295787E-2</v>
      </c>
      <c r="K153" s="261">
        <f t="shared" si="16"/>
        <v>3.4144519001089668E-2</v>
      </c>
      <c r="L153" s="261">
        <f t="shared" si="16"/>
        <v>3.3197342022636626E-2</v>
      </c>
      <c r="M153" s="261">
        <f t="shared" si="16"/>
        <v>3.2374187185553953E-2</v>
      </c>
      <c r="N153" s="261">
        <f t="shared" si="16"/>
        <v>3.1493010360523523E-2</v>
      </c>
      <c r="O153" s="261">
        <f t="shared" si="16"/>
        <v>3.2204528338829828E-2</v>
      </c>
      <c r="P153" s="261">
        <f t="shared" si="16"/>
        <v>3.1145748034547414E-2</v>
      </c>
      <c r="Q153" s="261">
        <f t="shared" si="16"/>
        <v>2.9684366058573525E-2</v>
      </c>
    </row>
    <row r="154" spans="1:17" ht="11.4" customHeight="1">
      <c r="A154" s="260" t="s">
        <v>528</v>
      </c>
      <c r="B154" s="261">
        <f t="shared" ref="B154:Q155" si="17">IF(B38=0,0,B38/B$17)</f>
        <v>0</v>
      </c>
      <c r="C154" s="261">
        <f t="shared" si="17"/>
        <v>0</v>
      </c>
      <c r="D154" s="261">
        <f t="shared" si="17"/>
        <v>0</v>
      </c>
      <c r="E154" s="261">
        <f t="shared" si="17"/>
        <v>0</v>
      </c>
      <c r="F154" s="261">
        <f t="shared" si="17"/>
        <v>0</v>
      </c>
      <c r="G154" s="261">
        <f t="shared" si="17"/>
        <v>0</v>
      </c>
      <c r="H154" s="261">
        <f t="shared" si="17"/>
        <v>0</v>
      </c>
      <c r="I154" s="261">
        <f t="shared" si="17"/>
        <v>0</v>
      </c>
      <c r="J154" s="261">
        <f t="shared" si="17"/>
        <v>0</v>
      </c>
      <c r="K154" s="261">
        <f t="shared" si="17"/>
        <v>0</v>
      </c>
      <c r="L154" s="261">
        <f t="shared" si="17"/>
        <v>0</v>
      </c>
      <c r="M154" s="261">
        <f t="shared" si="17"/>
        <v>0</v>
      </c>
      <c r="N154" s="261">
        <f t="shared" si="17"/>
        <v>0</v>
      </c>
      <c r="O154" s="261">
        <f t="shared" si="17"/>
        <v>0</v>
      </c>
      <c r="P154" s="261">
        <f t="shared" si="17"/>
        <v>0</v>
      </c>
      <c r="Q154" s="261">
        <f t="shared" si="17"/>
        <v>0</v>
      </c>
    </row>
    <row r="155" spans="1:17" ht="11.4" customHeight="1">
      <c r="A155" s="260" t="s">
        <v>529</v>
      </c>
      <c r="B155" s="261">
        <f t="shared" si="17"/>
        <v>0</v>
      </c>
      <c r="C155" s="261">
        <f t="shared" si="17"/>
        <v>0</v>
      </c>
      <c r="D155" s="261">
        <f t="shared" si="17"/>
        <v>0</v>
      </c>
      <c r="E155" s="261">
        <f t="shared" si="17"/>
        <v>0</v>
      </c>
      <c r="F155" s="261">
        <f t="shared" si="17"/>
        <v>0</v>
      </c>
      <c r="G155" s="261">
        <f t="shared" si="17"/>
        <v>0</v>
      </c>
      <c r="H155" s="261">
        <f t="shared" si="17"/>
        <v>0</v>
      </c>
      <c r="I155" s="261">
        <f t="shared" si="17"/>
        <v>0</v>
      </c>
      <c r="J155" s="261">
        <f t="shared" si="17"/>
        <v>0</v>
      </c>
      <c r="K155" s="261">
        <f t="shared" si="17"/>
        <v>0</v>
      </c>
      <c r="L155" s="261">
        <f t="shared" si="17"/>
        <v>0</v>
      </c>
      <c r="M155" s="261">
        <f t="shared" si="17"/>
        <v>0</v>
      </c>
      <c r="N155" s="261">
        <f t="shared" si="17"/>
        <v>0</v>
      </c>
      <c r="O155" s="261">
        <f t="shared" si="17"/>
        <v>0</v>
      </c>
      <c r="P155" s="261">
        <f t="shared" si="17"/>
        <v>0</v>
      </c>
      <c r="Q155" s="261">
        <f t="shared" si="17"/>
        <v>0</v>
      </c>
    </row>
    <row r="156" spans="1:17" ht="11.4" customHeight="1">
      <c r="A156" s="260" t="s">
        <v>533</v>
      </c>
      <c r="B156" s="261">
        <f t="shared" ref="B156:Q159" si="18">IF(B41=0,0,B41/B$17)</f>
        <v>3.063769477513323E-5</v>
      </c>
      <c r="C156" s="261">
        <f t="shared" si="18"/>
        <v>2.9944975699646416E-5</v>
      </c>
      <c r="D156" s="261">
        <f t="shared" si="18"/>
        <v>2.9944419751688065E-5</v>
      </c>
      <c r="E156" s="261">
        <f t="shared" si="18"/>
        <v>3.3812255455109974E-5</v>
      </c>
      <c r="F156" s="261">
        <f t="shared" si="18"/>
        <v>3.5136865829226482E-5</v>
      </c>
      <c r="G156" s="261">
        <f t="shared" si="18"/>
        <v>3.6852618869738102E-5</v>
      </c>
      <c r="H156" s="261">
        <f t="shared" si="18"/>
        <v>1.8013111985804851E-5</v>
      </c>
      <c r="I156" s="261">
        <f t="shared" si="18"/>
        <v>1.5244241011137485E-5</v>
      </c>
      <c r="J156" s="261">
        <f t="shared" si="18"/>
        <v>2.7009366466267988E-5</v>
      </c>
      <c r="K156" s="261">
        <f t="shared" si="18"/>
        <v>2.7950619422326319E-5</v>
      </c>
      <c r="L156" s="261">
        <f t="shared" si="18"/>
        <v>3.1772854091149422E-5</v>
      </c>
      <c r="M156" s="261">
        <f t="shared" si="18"/>
        <v>3.5379900457351133E-5</v>
      </c>
      <c r="N156" s="261">
        <f t="shared" si="18"/>
        <v>4.0214995546344755E-5</v>
      </c>
      <c r="O156" s="261">
        <f t="shared" si="18"/>
        <v>2.8765588249661415E-5</v>
      </c>
      <c r="P156" s="261">
        <f t="shared" si="18"/>
        <v>2.6764859545692279E-5</v>
      </c>
      <c r="Q156" s="261">
        <f t="shared" si="18"/>
        <v>7.3083101044603259E-5</v>
      </c>
    </row>
    <row r="157" spans="1:17" ht="11.4" customHeight="1">
      <c r="A157" s="227" t="s">
        <v>535</v>
      </c>
      <c r="B157" s="255">
        <f t="shared" si="18"/>
        <v>0.29827376046020976</v>
      </c>
      <c r="C157" s="255">
        <f t="shared" si="18"/>
        <v>0.30942728489269689</v>
      </c>
      <c r="D157" s="255">
        <f t="shared" si="18"/>
        <v>0.31067396588886642</v>
      </c>
      <c r="E157" s="255">
        <f t="shared" si="18"/>
        <v>0.32363285208666248</v>
      </c>
      <c r="F157" s="255">
        <f t="shared" si="18"/>
        <v>0.32979445559298165</v>
      </c>
      <c r="G157" s="255">
        <f t="shared" si="18"/>
        <v>0.34106980170185713</v>
      </c>
      <c r="H157" s="255">
        <f t="shared" si="18"/>
        <v>0.33953778256020067</v>
      </c>
      <c r="I157" s="255">
        <f t="shared" si="18"/>
        <v>0.35881472591862817</v>
      </c>
      <c r="J157" s="255">
        <f t="shared" si="18"/>
        <v>0.34745195043622878</v>
      </c>
      <c r="K157" s="255">
        <f t="shared" si="18"/>
        <v>0.34410105777237482</v>
      </c>
      <c r="L157" s="255">
        <f t="shared" si="18"/>
        <v>0.35372157580655622</v>
      </c>
      <c r="M157" s="255">
        <f t="shared" si="18"/>
        <v>0.35397245792010179</v>
      </c>
      <c r="N157" s="255">
        <f t="shared" si="18"/>
        <v>0.35623625172666723</v>
      </c>
      <c r="O157" s="255">
        <f t="shared" si="18"/>
        <v>0.3549676846896036</v>
      </c>
      <c r="P157" s="255">
        <f t="shared" si="18"/>
        <v>0.36353909983525534</v>
      </c>
      <c r="Q157" s="255">
        <f t="shared" si="18"/>
        <v>0.36883946510041921</v>
      </c>
    </row>
    <row r="158" spans="1:17" ht="11.4" customHeight="1">
      <c r="A158" s="256" t="s">
        <v>536</v>
      </c>
      <c r="B158" s="257">
        <f t="shared" si="18"/>
        <v>0.11894758770724773</v>
      </c>
      <c r="C158" s="257">
        <f t="shared" si="18"/>
        <v>0.11951081216927173</v>
      </c>
      <c r="D158" s="257">
        <f t="shared" si="18"/>
        <v>0.11981670651826366</v>
      </c>
      <c r="E158" s="257">
        <f t="shared" si="18"/>
        <v>0.12355337682747539</v>
      </c>
      <c r="F158" s="257">
        <f t="shared" si="18"/>
        <v>0.12638232292961893</v>
      </c>
      <c r="G158" s="257">
        <f t="shared" si="18"/>
        <v>0.12975200246422106</v>
      </c>
      <c r="H158" s="257">
        <f t="shared" si="18"/>
        <v>0.13236598882947903</v>
      </c>
      <c r="I158" s="257">
        <f t="shared" si="18"/>
        <v>0.13510304810690804</v>
      </c>
      <c r="J158" s="257">
        <f t="shared" si="18"/>
        <v>0.13201127949434138</v>
      </c>
      <c r="K158" s="257">
        <f t="shared" si="18"/>
        <v>0.13412487131934622</v>
      </c>
      <c r="L158" s="257">
        <f t="shared" si="18"/>
        <v>0.13854472121341618</v>
      </c>
      <c r="M158" s="257">
        <f t="shared" si="18"/>
        <v>0.14138935127070446</v>
      </c>
      <c r="N158" s="257">
        <f t="shared" si="18"/>
        <v>0.14334065233286375</v>
      </c>
      <c r="O158" s="257">
        <f t="shared" si="18"/>
        <v>0.14610924111912924</v>
      </c>
      <c r="P158" s="257">
        <f t="shared" si="18"/>
        <v>0.14985691936753781</v>
      </c>
      <c r="Q158" s="257">
        <f t="shared" si="18"/>
        <v>0.15405788937581116</v>
      </c>
    </row>
    <row r="159" spans="1:17" ht="11.4" customHeight="1">
      <c r="A159" s="260" t="s">
        <v>526</v>
      </c>
      <c r="B159" s="261">
        <f t="shared" si="18"/>
        <v>1.2360316503113981E-2</v>
      </c>
      <c r="C159" s="261">
        <f t="shared" si="18"/>
        <v>1.1780485128921063E-2</v>
      </c>
      <c r="D159" s="261">
        <f t="shared" si="18"/>
        <v>1.1398782896127191E-2</v>
      </c>
      <c r="E159" s="261">
        <f t="shared" si="18"/>
        <v>1.1228938587806605E-2</v>
      </c>
      <c r="F159" s="261">
        <f t="shared" si="18"/>
        <v>1.0467998107369871E-2</v>
      </c>
      <c r="G159" s="261">
        <f t="shared" si="18"/>
        <v>1.0074857077276695E-2</v>
      </c>
      <c r="H159" s="261">
        <f t="shared" si="18"/>
        <v>9.1150237087602535E-3</v>
      </c>
      <c r="I159" s="261">
        <f t="shared" si="18"/>
        <v>8.0405395481855397E-3</v>
      </c>
      <c r="J159" s="261">
        <f t="shared" si="18"/>
        <v>6.6694872306488559E-3</v>
      </c>
      <c r="K159" s="261">
        <f t="shared" si="18"/>
        <v>6.0890400851049634E-3</v>
      </c>
      <c r="L159" s="261">
        <f t="shared" si="18"/>
        <v>5.8619138785252749E-3</v>
      </c>
      <c r="M159" s="261">
        <f t="shared" si="18"/>
        <v>5.8651472268770972E-3</v>
      </c>
      <c r="N159" s="261">
        <f t="shared" si="18"/>
        <v>5.8358481388961535E-3</v>
      </c>
      <c r="O159" s="261">
        <f t="shared" si="18"/>
        <v>5.8201708076025442E-3</v>
      </c>
      <c r="P159" s="261">
        <f t="shared" si="18"/>
        <v>5.9660925891060661E-3</v>
      </c>
      <c r="Q159" s="261">
        <f t="shared" si="18"/>
        <v>6.1976111613081678E-3</v>
      </c>
    </row>
    <row r="160" spans="1:17" ht="11.4" customHeight="1">
      <c r="A160" s="260" t="s">
        <v>527</v>
      </c>
      <c r="B160" s="261">
        <f t="shared" ref="B160:Q160" si="19">IF(B46=0,0,B46/B$17)</f>
        <v>0.10637995815563928</v>
      </c>
      <c r="C160" s="261">
        <f t="shared" si="19"/>
        <v>0.10667257421022727</v>
      </c>
      <c r="D160" s="261">
        <f t="shared" si="19"/>
        <v>0.10647633406098481</v>
      </c>
      <c r="E160" s="261">
        <f t="shared" si="19"/>
        <v>0.10989946149852169</v>
      </c>
      <c r="F160" s="261">
        <f t="shared" si="19"/>
        <v>0.11323218766145546</v>
      </c>
      <c r="G160" s="261">
        <f t="shared" si="19"/>
        <v>0.11678998357408114</v>
      </c>
      <c r="H160" s="261">
        <f t="shared" si="19"/>
        <v>0.12026091297989944</v>
      </c>
      <c r="I160" s="261">
        <f t="shared" si="19"/>
        <v>0.12409008780393746</v>
      </c>
      <c r="J160" s="261">
        <f t="shared" si="19"/>
        <v>0.12241596463929173</v>
      </c>
      <c r="K160" s="261">
        <f t="shared" si="19"/>
        <v>0.12550060216544456</v>
      </c>
      <c r="L160" s="261">
        <f t="shared" si="19"/>
        <v>0.13015488001930625</v>
      </c>
      <c r="M160" s="261">
        <f t="shared" si="19"/>
        <v>0.13309511541392979</v>
      </c>
      <c r="N160" s="261">
        <f t="shared" si="19"/>
        <v>0.13513358503433096</v>
      </c>
      <c r="O160" s="261">
        <f t="shared" si="19"/>
        <v>0.13781485549390601</v>
      </c>
      <c r="P160" s="261">
        <f t="shared" si="19"/>
        <v>0.14156720405801096</v>
      </c>
      <c r="Q160" s="261">
        <f t="shared" si="19"/>
        <v>0.14570277483273902</v>
      </c>
    </row>
    <row r="161" spans="1:17" ht="11.4" customHeight="1">
      <c r="A161" s="260" t="s">
        <v>528</v>
      </c>
      <c r="B161" s="261">
        <f t="shared" ref="B161:Q162" si="20">IF(B48=0,0,B48/B$17)</f>
        <v>2.0731304849448012E-4</v>
      </c>
      <c r="C161" s="261">
        <f t="shared" si="20"/>
        <v>1.0577528301234102E-3</v>
      </c>
      <c r="D161" s="261">
        <f t="shared" si="20"/>
        <v>1.9415895611516805E-3</v>
      </c>
      <c r="E161" s="261">
        <f t="shared" si="20"/>
        <v>2.4249767411471117E-3</v>
      </c>
      <c r="F161" s="261">
        <f t="shared" si="20"/>
        <v>2.6672131330965003E-3</v>
      </c>
      <c r="G161" s="261">
        <f t="shared" si="20"/>
        <v>2.8720026979100264E-3</v>
      </c>
      <c r="H161" s="261">
        <f t="shared" si="20"/>
        <v>2.9749356855962028E-3</v>
      </c>
      <c r="I161" s="261">
        <f t="shared" si="20"/>
        <v>2.9574663300813036E-3</v>
      </c>
      <c r="J161" s="261">
        <f t="shared" si="20"/>
        <v>2.9103820069729587E-3</v>
      </c>
      <c r="K161" s="261">
        <f t="shared" si="20"/>
        <v>2.5198048163796727E-3</v>
      </c>
      <c r="L161" s="261">
        <f t="shared" si="20"/>
        <v>2.5121866254912591E-3</v>
      </c>
      <c r="M161" s="261">
        <f t="shared" si="20"/>
        <v>2.4091671748750973E-3</v>
      </c>
      <c r="N161" s="261">
        <f t="shared" si="20"/>
        <v>2.3467338444695795E-3</v>
      </c>
      <c r="O161" s="261">
        <f t="shared" si="20"/>
        <v>2.436461800622393E-3</v>
      </c>
      <c r="P161" s="261">
        <f t="shared" si="20"/>
        <v>2.2534592736263774E-3</v>
      </c>
      <c r="Q161" s="261">
        <f t="shared" si="20"/>
        <v>2.0577286241318759E-3</v>
      </c>
    </row>
    <row r="162" spans="1:17" ht="11.4" customHeight="1">
      <c r="A162" s="260" t="s">
        <v>529</v>
      </c>
      <c r="B162" s="261">
        <f t="shared" si="20"/>
        <v>0</v>
      </c>
      <c r="C162" s="261">
        <f t="shared" si="20"/>
        <v>0</v>
      </c>
      <c r="D162" s="261">
        <f t="shared" si="20"/>
        <v>0</v>
      </c>
      <c r="E162" s="261">
        <f t="shared" si="20"/>
        <v>0</v>
      </c>
      <c r="F162" s="261">
        <f t="shared" si="20"/>
        <v>0</v>
      </c>
      <c r="G162" s="261">
        <f t="shared" si="20"/>
        <v>0</v>
      </c>
      <c r="H162" s="261">
        <f t="shared" si="20"/>
        <v>0</v>
      </c>
      <c r="I162" s="261">
        <f t="shared" si="20"/>
        <v>0</v>
      </c>
      <c r="J162" s="261">
        <f t="shared" si="20"/>
        <v>0</v>
      </c>
      <c r="K162" s="261">
        <f t="shared" si="20"/>
        <v>0</v>
      </c>
      <c r="L162" s="261">
        <f t="shared" si="20"/>
        <v>0</v>
      </c>
      <c r="M162" s="261">
        <f t="shared" si="20"/>
        <v>0</v>
      </c>
      <c r="N162" s="261">
        <f t="shared" si="20"/>
        <v>0</v>
      </c>
      <c r="O162" s="261">
        <f t="shared" si="20"/>
        <v>0</v>
      </c>
      <c r="P162" s="261">
        <f t="shared" si="20"/>
        <v>0</v>
      </c>
      <c r="Q162" s="261">
        <f t="shared" si="20"/>
        <v>0</v>
      </c>
    </row>
    <row r="163" spans="1:17" ht="11.4" customHeight="1">
      <c r="A163" s="260" t="s">
        <v>533</v>
      </c>
      <c r="B163" s="261">
        <f t="shared" ref="B163:Q165" si="21">IF(B51=0,0,B51/B$17)</f>
        <v>0</v>
      </c>
      <c r="C163" s="261">
        <f t="shared" si="21"/>
        <v>0</v>
      </c>
      <c r="D163" s="261">
        <f t="shared" si="21"/>
        <v>0</v>
      </c>
      <c r="E163" s="261">
        <f t="shared" si="21"/>
        <v>0</v>
      </c>
      <c r="F163" s="261">
        <f t="shared" si="21"/>
        <v>1.492402769707156E-5</v>
      </c>
      <c r="G163" s="261">
        <f t="shared" si="21"/>
        <v>1.5159114953191197E-5</v>
      </c>
      <c r="H163" s="261">
        <f t="shared" si="21"/>
        <v>1.5116455223152711E-5</v>
      </c>
      <c r="I163" s="261">
        <f t="shared" si="21"/>
        <v>1.495442470373884E-5</v>
      </c>
      <c r="J163" s="261">
        <f t="shared" si="21"/>
        <v>1.5445617427812885E-5</v>
      </c>
      <c r="K163" s="261">
        <f t="shared" si="21"/>
        <v>1.5424252417030979E-5</v>
      </c>
      <c r="L163" s="261">
        <f t="shared" si="21"/>
        <v>1.5740690093391887E-5</v>
      </c>
      <c r="M163" s="261">
        <f t="shared" si="21"/>
        <v>1.9921455022473352E-5</v>
      </c>
      <c r="N163" s="261">
        <f t="shared" si="21"/>
        <v>2.4485315167044637E-5</v>
      </c>
      <c r="O163" s="261">
        <f t="shared" si="21"/>
        <v>3.7753016998289606E-5</v>
      </c>
      <c r="P163" s="261">
        <f t="shared" si="21"/>
        <v>7.0163446794392119E-5</v>
      </c>
      <c r="Q163" s="261">
        <f t="shared" si="21"/>
        <v>9.9774757632089333E-5</v>
      </c>
    </row>
    <row r="164" spans="1:17" ht="11.4" customHeight="1">
      <c r="A164" s="258" t="s">
        <v>544</v>
      </c>
      <c r="B164" s="259">
        <f t="shared" si="21"/>
        <v>0.17932617275296203</v>
      </c>
      <c r="C164" s="259">
        <f t="shared" si="21"/>
        <v>0.18991647272342513</v>
      </c>
      <c r="D164" s="259">
        <f t="shared" si="21"/>
        <v>0.19085725937060274</v>
      </c>
      <c r="E164" s="259">
        <f t="shared" si="21"/>
        <v>0.20007947525918712</v>
      </c>
      <c r="F164" s="259">
        <f t="shared" si="21"/>
        <v>0.20341213266336275</v>
      </c>
      <c r="G164" s="259">
        <f t="shared" si="21"/>
        <v>0.21131779923763608</v>
      </c>
      <c r="H164" s="259">
        <f t="shared" si="21"/>
        <v>0.20717179373072167</v>
      </c>
      <c r="I164" s="259">
        <f t="shared" si="21"/>
        <v>0.22371167781172008</v>
      </c>
      <c r="J164" s="259">
        <f t="shared" si="21"/>
        <v>0.21544067094188743</v>
      </c>
      <c r="K164" s="259">
        <f t="shared" si="21"/>
        <v>0.20997618645302857</v>
      </c>
      <c r="L164" s="259">
        <f t="shared" si="21"/>
        <v>0.21517685459314001</v>
      </c>
      <c r="M164" s="259">
        <f t="shared" si="21"/>
        <v>0.21258310664939736</v>
      </c>
      <c r="N164" s="259">
        <f t="shared" si="21"/>
        <v>0.21289559939380348</v>
      </c>
      <c r="O164" s="259">
        <f t="shared" si="21"/>
        <v>0.20885844357047434</v>
      </c>
      <c r="P164" s="259">
        <f t="shared" si="21"/>
        <v>0.21368218046771756</v>
      </c>
      <c r="Q164" s="259">
        <f t="shared" si="21"/>
        <v>0.21478157572460801</v>
      </c>
    </row>
    <row r="165" spans="1:17" ht="11.4" customHeight="1">
      <c r="A165" s="262" t="s">
        <v>538</v>
      </c>
      <c r="B165" s="263">
        <f t="shared" si="21"/>
        <v>0.16918551531840761</v>
      </c>
      <c r="C165" s="263">
        <f t="shared" si="21"/>
        <v>0.17937614278394529</v>
      </c>
      <c r="D165" s="263">
        <f t="shared" si="21"/>
        <v>0.18016591088630027</v>
      </c>
      <c r="E165" s="263">
        <f t="shared" si="21"/>
        <v>0.18935860285335082</v>
      </c>
      <c r="F165" s="263">
        <f t="shared" si="21"/>
        <v>0.19093202638103382</v>
      </c>
      <c r="G165" s="263">
        <f t="shared" si="21"/>
        <v>0.1982879860700722</v>
      </c>
      <c r="H165" s="263">
        <f t="shared" si="21"/>
        <v>0.19409100811339663</v>
      </c>
      <c r="I165" s="263">
        <f t="shared" si="21"/>
        <v>0.20951278623472203</v>
      </c>
      <c r="J165" s="263">
        <f t="shared" si="21"/>
        <v>0.20141933115559801</v>
      </c>
      <c r="K165" s="263">
        <f t="shared" si="21"/>
        <v>0.19748427111207947</v>
      </c>
      <c r="L165" s="263">
        <f t="shared" si="21"/>
        <v>0.20228098472866424</v>
      </c>
      <c r="M165" s="263">
        <f t="shared" si="21"/>
        <v>0.19685343256828411</v>
      </c>
      <c r="N165" s="263">
        <f t="shared" si="21"/>
        <v>0.19367195594094486</v>
      </c>
      <c r="O165" s="263">
        <f t="shared" si="21"/>
        <v>0.18944729503550456</v>
      </c>
      <c r="P165" s="263">
        <f t="shared" si="21"/>
        <v>0.19310096669892238</v>
      </c>
      <c r="Q165" s="263">
        <f t="shared" si="21"/>
        <v>0.19386906330068479</v>
      </c>
    </row>
    <row r="166" spans="1:17" ht="11.4" customHeight="1">
      <c r="A166" s="264" t="s">
        <v>539</v>
      </c>
      <c r="B166" s="265">
        <f t="shared" ref="B166:Q166" si="22">IF(B55=0,0,B55/B$17)</f>
        <v>1.0140657434554409E-2</v>
      </c>
      <c r="C166" s="265">
        <f t="shared" si="22"/>
        <v>1.0540329939479834E-2</v>
      </c>
      <c r="D166" s="265">
        <f t="shared" si="22"/>
        <v>1.0691348484302468E-2</v>
      </c>
      <c r="E166" s="265">
        <f t="shared" si="22"/>
        <v>1.0720872405836289E-2</v>
      </c>
      <c r="F166" s="265">
        <f t="shared" si="22"/>
        <v>1.2480106282328944E-2</v>
      </c>
      <c r="G166" s="265">
        <f t="shared" si="22"/>
        <v>1.3029813167563884E-2</v>
      </c>
      <c r="H166" s="265">
        <f t="shared" si="22"/>
        <v>1.3080785617325003E-2</v>
      </c>
      <c r="I166" s="265">
        <f t="shared" si="22"/>
        <v>1.4198891576998033E-2</v>
      </c>
      <c r="J166" s="265">
        <f t="shared" si="22"/>
        <v>1.4021339786289428E-2</v>
      </c>
      <c r="K166" s="265">
        <f t="shared" si="22"/>
        <v>1.2491915340949108E-2</v>
      </c>
      <c r="L166" s="265">
        <f t="shared" si="22"/>
        <v>1.2895869864475773E-2</v>
      </c>
      <c r="M166" s="265">
        <f t="shared" si="22"/>
        <v>1.572967408111324E-2</v>
      </c>
      <c r="N166" s="265">
        <f t="shared" si="22"/>
        <v>1.922364345285861E-2</v>
      </c>
      <c r="O166" s="265">
        <f t="shared" si="22"/>
        <v>1.9411148534969801E-2</v>
      </c>
      <c r="P166" s="265">
        <f t="shared" si="22"/>
        <v>2.0581213768795195E-2</v>
      </c>
      <c r="Q166" s="265">
        <f t="shared" si="22"/>
        <v>2.0912512423923245E-2</v>
      </c>
    </row>
  </sheetData>
  <pageMargins left="0.39370078740157483" right="0.39370078740157483" top="0.39370078740157483" bottom="0.39370078740157483" header="0.31496062992125984" footer="0.31496062992125984"/>
  <pageSetup paperSize="9" scale="42" orientation="portrait" r:id="rId1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Q166"/>
  <sheetViews>
    <sheetView showGridLines="0" zoomScaleNormal="100" workbookViewId="0">
      <pane xSplit="1" ySplit="1" topLeftCell="B26" activePane="bottomRight" state="frozen"/>
      <selection activeCell="D1" sqref="D1"/>
      <selection pane="topRight" activeCell="D1" sqref="D1"/>
      <selection pane="bottomLeft" activeCell="D1" sqref="D1"/>
      <selection pane="bottomRight" activeCell="B2" sqref="B2"/>
    </sheetView>
  </sheetViews>
  <sheetFormatPr defaultColWidth="9.109375" defaultRowHeight="11.4" customHeight="1"/>
  <cols>
    <col min="1" max="1" width="50.6640625" style="214" customWidth="1"/>
    <col min="2" max="17" width="10.6640625" style="266" customWidth="1"/>
    <col min="18" max="16384" width="9.109375" style="214"/>
  </cols>
  <sheetData>
    <row r="1" spans="1:17" ht="13.5" customHeight="1">
      <c r="A1" s="212" t="s">
        <v>558</v>
      </c>
      <c r="B1" s="213">
        <v>2000</v>
      </c>
      <c r="C1" s="213">
        <v>2001</v>
      </c>
      <c r="D1" s="213">
        <v>2002</v>
      </c>
      <c r="E1" s="213">
        <v>2003</v>
      </c>
      <c r="F1" s="213">
        <v>2004</v>
      </c>
      <c r="G1" s="213">
        <v>2005</v>
      </c>
      <c r="H1" s="213">
        <v>2006</v>
      </c>
      <c r="I1" s="213">
        <v>2007</v>
      </c>
      <c r="J1" s="213">
        <v>2008</v>
      </c>
      <c r="K1" s="213">
        <v>2009</v>
      </c>
      <c r="L1" s="213">
        <v>2010</v>
      </c>
      <c r="M1" s="213">
        <v>2011</v>
      </c>
      <c r="N1" s="213">
        <v>2012</v>
      </c>
      <c r="O1" s="213">
        <v>2013</v>
      </c>
      <c r="P1" s="213">
        <v>2014</v>
      </c>
      <c r="Q1" s="213">
        <v>2015</v>
      </c>
    </row>
    <row r="2" spans="1:17" ht="11.4" customHeight="1">
      <c r="A2" s="215"/>
      <c r="B2" s="216"/>
      <c r="C2" s="216"/>
      <c r="D2" s="216"/>
      <c r="E2" s="216"/>
      <c r="F2" s="216"/>
      <c r="G2" s="216"/>
      <c r="H2" s="216"/>
      <c r="I2" s="216"/>
      <c r="J2" s="216"/>
      <c r="K2" s="216"/>
      <c r="L2" s="216"/>
      <c r="M2" s="216"/>
      <c r="N2" s="216"/>
      <c r="O2" s="216"/>
      <c r="P2" s="216"/>
      <c r="Q2" s="216"/>
    </row>
    <row r="3" spans="1:17" ht="11.4" customHeight="1">
      <c r="A3" s="217" t="s">
        <v>508</v>
      </c>
      <c r="B3" s="218"/>
      <c r="C3" s="218"/>
      <c r="D3" s="218"/>
      <c r="E3" s="218"/>
      <c r="F3" s="218"/>
      <c r="G3" s="218"/>
      <c r="H3" s="218"/>
      <c r="I3" s="218"/>
      <c r="J3" s="218"/>
      <c r="K3" s="218"/>
      <c r="L3" s="218"/>
      <c r="M3" s="218"/>
      <c r="N3" s="218"/>
      <c r="O3" s="218"/>
      <c r="P3" s="218"/>
      <c r="Q3" s="218"/>
    </row>
    <row r="4" spans="1:17" ht="11.4" customHeight="1">
      <c r="A4" s="219" t="s">
        <v>509</v>
      </c>
      <c r="B4" s="220">
        <f>B5+B9+B10+B15</f>
        <v>57172.165494590488</v>
      </c>
      <c r="C4" s="220">
        <f t="shared" ref="C4:Q4" si="0">C5+C9+C10+C15</f>
        <v>55987.488219716754</v>
      </c>
      <c r="D4" s="220">
        <f t="shared" si="0"/>
        <v>55417.259479007342</v>
      </c>
      <c r="E4" s="220">
        <f t="shared" si="0"/>
        <v>53010.296746555468</v>
      </c>
      <c r="F4" s="220">
        <f t="shared" si="0"/>
        <v>53165.943817022147</v>
      </c>
      <c r="G4" s="220">
        <f t="shared" si="0"/>
        <v>51372.579051132299</v>
      </c>
      <c r="H4" s="220">
        <f t="shared" si="0"/>
        <v>52282.499543290636</v>
      </c>
      <c r="I4" s="220">
        <f t="shared" si="0"/>
        <v>51019.026284604282</v>
      </c>
      <c r="J4" s="220">
        <f t="shared" si="0"/>
        <v>50416.542681368002</v>
      </c>
      <c r="K4" s="220">
        <f t="shared" si="0"/>
        <v>49732.414762457622</v>
      </c>
      <c r="L4" s="220">
        <f t="shared" si="0"/>
        <v>50317.892363755389</v>
      </c>
      <c r="M4" s="220">
        <f t="shared" si="0"/>
        <v>50895.913298215884</v>
      </c>
      <c r="N4" s="220">
        <f t="shared" si="0"/>
        <v>50552.555249900346</v>
      </c>
      <c r="O4" s="220">
        <f t="shared" si="0"/>
        <v>51637.478797994525</v>
      </c>
      <c r="P4" s="220">
        <f t="shared" si="0"/>
        <v>52830.808270737441</v>
      </c>
      <c r="Q4" s="220">
        <f t="shared" si="0"/>
        <v>52575.12526711102</v>
      </c>
    </row>
    <row r="5" spans="1:17" ht="11.4" customHeight="1">
      <c r="A5" s="221" t="s">
        <v>510</v>
      </c>
      <c r="B5" s="222">
        <f>SUM(B6:B8)</f>
        <v>56915.164004887527</v>
      </c>
      <c r="C5" s="222">
        <f t="shared" ref="C5:Q5" si="1">SUM(C6:C8)</f>
        <v>55631.221189999997</v>
      </c>
      <c r="D5" s="222">
        <f t="shared" si="1"/>
        <v>54871.7601</v>
      </c>
      <c r="E5" s="222">
        <f t="shared" si="1"/>
        <v>52246.64142</v>
      </c>
      <c r="F5" s="222">
        <f t="shared" si="1"/>
        <v>52170.177250000001</v>
      </c>
      <c r="G5" s="222">
        <f t="shared" si="1"/>
        <v>49448.007505550064</v>
      </c>
      <c r="H5" s="222">
        <f t="shared" si="1"/>
        <v>48836.503049999999</v>
      </c>
      <c r="I5" s="222">
        <f t="shared" si="1"/>
        <v>47164.671130000002</v>
      </c>
      <c r="J5" s="222">
        <f t="shared" si="1"/>
        <v>47394.742789999997</v>
      </c>
      <c r="K5" s="222">
        <f t="shared" si="1"/>
        <v>46966.649869999994</v>
      </c>
      <c r="L5" s="222">
        <f t="shared" si="1"/>
        <v>47301.577042038603</v>
      </c>
      <c r="M5" s="222">
        <f t="shared" si="1"/>
        <v>47942.469530289425</v>
      </c>
      <c r="N5" s="222">
        <f t="shared" si="1"/>
        <v>47450.804481046522</v>
      </c>
      <c r="O5" s="222">
        <f t="shared" si="1"/>
        <v>48766.907635508353</v>
      </c>
      <c r="P5" s="222">
        <f t="shared" si="1"/>
        <v>49868.590953222971</v>
      </c>
      <c r="Q5" s="222">
        <f t="shared" si="1"/>
        <v>49825.929425598835</v>
      </c>
    </row>
    <row r="6" spans="1:17" ht="11.4" customHeight="1">
      <c r="A6" s="223" t="s">
        <v>511</v>
      </c>
      <c r="B6" s="222">
        <v>69.217501546098404</v>
      </c>
      <c r="C6" s="222">
        <v>68.099800000000002</v>
      </c>
      <c r="D6" s="222">
        <v>80.203990000000005</v>
      </c>
      <c r="E6" s="222">
        <v>82.804569999999998</v>
      </c>
      <c r="F6" s="222">
        <v>111.00679</v>
      </c>
      <c r="G6" s="222">
        <v>121.95650558641681</v>
      </c>
      <c r="H6" s="222">
        <v>175.69037</v>
      </c>
      <c r="I6" s="222">
        <v>278.19954999999999</v>
      </c>
      <c r="J6" s="222">
        <v>439.81281999999999</v>
      </c>
      <c r="K6" s="222">
        <v>635.50044000000003</v>
      </c>
      <c r="L6" s="222">
        <v>618.9698580491845</v>
      </c>
      <c r="M6" s="222">
        <v>631.07118214362129</v>
      </c>
      <c r="N6" s="222">
        <v>628.88147885841795</v>
      </c>
      <c r="O6" s="222">
        <v>612.37718075676139</v>
      </c>
      <c r="P6" s="222">
        <v>645.7435009657745</v>
      </c>
      <c r="Q6" s="222">
        <v>593.79373177885759</v>
      </c>
    </row>
    <row r="7" spans="1:17" ht="11.4" customHeight="1">
      <c r="A7" s="223" t="s">
        <v>512</v>
      </c>
      <c r="B7" s="222">
        <v>30661.05121667156</v>
      </c>
      <c r="C7" s="222">
        <v>29744.152549999999</v>
      </c>
      <c r="D7" s="222">
        <v>28935.451880000001</v>
      </c>
      <c r="E7" s="222">
        <v>26498.25489</v>
      </c>
      <c r="F7" s="222">
        <v>25619.39085</v>
      </c>
      <c r="G7" s="222">
        <v>23721.500022495627</v>
      </c>
      <c r="H7" s="222">
        <v>22593.054110000001</v>
      </c>
      <c r="I7" s="222">
        <v>21322.202270000002</v>
      </c>
      <c r="J7" s="222">
        <v>20740.896789999999</v>
      </c>
      <c r="K7" s="222">
        <v>19720.67064</v>
      </c>
      <c r="L7" s="222">
        <v>18859.454513758919</v>
      </c>
      <c r="M7" s="222">
        <v>18779.401847745667</v>
      </c>
      <c r="N7" s="222">
        <v>17617.708137723399</v>
      </c>
      <c r="O7" s="222">
        <v>17590.67349298465</v>
      </c>
      <c r="P7" s="222">
        <v>17682.211562639477</v>
      </c>
      <c r="Q7" s="222">
        <v>16926.336868737286</v>
      </c>
    </row>
    <row r="8" spans="1:17" ht="11.4" customHeight="1">
      <c r="A8" s="223" t="s">
        <v>513</v>
      </c>
      <c r="B8" s="222">
        <v>26184.895286669864</v>
      </c>
      <c r="C8" s="222">
        <v>25818.968839999998</v>
      </c>
      <c r="D8" s="222">
        <v>25856.104229999997</v>
      </c>
      <c r="E8" s="222">
        <v>25665.58196</v>
      </c>
      <c r="F8" s="222">
        <v>26439.779610000001</v>
      </c>
      <c r="G8" s="222">
        <v>25604.550977468018</v>
      </c>
      <c r="H8" s="222">
        <v>26067.758570000002</v>
      </c>
      <c r="I8" s="222">
        <v>25564.26931</v>
      </c>
      <c r="J8" s="222">
        <v>26214.033179999999</v>
      </c>
      <c r="K8" s="222">
        <v>26610.478789999997</v>
      </c>
      <c r="L8" s="222">
        <v>27823.152670230498</v>
      </c>
      <c r="M8" s="222">
        <v>28531.996500400135</v>
      </c>
      <c r="N8" s="222">
        <v>29204.21486446471</v>
      </c>
      <c r="O8" s="222">
        <v>30563.856961766942</v>
      </c>
      <c r="P8" s="222">
        <v>31540.635889617723</v>
      </c>
      <c r="Q8" s="222">
        <v>32305.798825082693</v>
      </c>
    </row>
    <row r="9" spans="1:17" ht="11.4" customHeight="1">
      <c r="A9" s="221" t="s">
        <v>514</v>
      </c>
      <c r="B9" s="222">
        <v>18.582214998581129</v>
      </c>
      <c r="C9" s="222">
        <v>25.19997</v>
      </c>
      <c r="D9" s="222">
        <v>32.900060000000003</v>
      </c>
      <c r="E9" s="222">
        <v>40.800000000000068</v>
      </c>
      <c r="F9" s="222">
        <v>53.094600000000014</v>
      </c>
      <c r="G9" s="222">
        <v>74.519907798276449</v>
      </c>
      <c r="H9" s="222">
        <v>105.90004999999996</v>
      </c>
      <c r="I9" s="222">
        <v>106.69985999999994</v>
      </c>
      <c r="J9" s="222">
        <v>96.699829999999963</v>
      </c>
      <c r="K9" s="222">
        <v>146.39974000000001</v>
      </c>
      <c r="L9" s="222">
        <v>138.53072324615465</v>
      </c>
      <c r="M9" s="222">
        <v>166.47549363546858</v>
      </c>
      <c r="N9" s="222">
        <v>169.86715192113257</v>
      </c>
      <c r="O9" s="222">
        <v>175.9577992859617</v>
      </c>
      <c r="P9" s="222">
        <v>177.98785462524228</v>
      </c>
      <c r="Q9" s="222">
        <v>176.44527682364406</v>
      </c>
    </row>
    <row r="10" spans="1:17" ht="11.4" customHeight="1">
      <c r="A10" s="221" t="s">
        <v>515</v>
      </c>
      <c r="B10" s="222">
        <f>SUM(B11:B14)</f>
        <v>236.50518346446879</v>
      </c>
      <c r="C10" s="222">
        <f t="shared" ref="C10:Q10" si="2">SUM(C11:C14)</f>
        <v>328.99349999999998</v>
      </c>
      <c r="D10" s="222">
        <f t="shared" si="2"/>
        <v>510.3</v>
      </c>
      <c r="E10" s="222">
        <f t="shared" si="2"/>
        <v>720.70037000000002</v>
      </c>
      <c r="F10" s="222">
        <f t="shared" si="2"/>
        <v>940.68379000000004</v>
      </c>
      <c r="G10" s="222">
        <f t="shared" si="2"/>
        <v>1848.2137542842909</v>
      </c>
      <c r="H10" s="222">
        <f t="shared" si="2"/>
        <v>3338.4037299999995</v>
      </c>
      <c r="I10" s="222">
        <f t="shared" si="2"/>
        <v>3746.10959</v>
      </c>
      <c r="J10" s="222">
        <f t="shared" si="2"/>
        <v>2923.0648000000001</v>
      </c>
      <c r="K10" s="222">
        <f t="shared" si="2"/>
        <v>2616.8003899999999</v>
      </c>
      <c r="L10" s="222">
        <f t="shared" si="2"/>
        <v>2874.9474453395574</v>
      </c>
      <c r="M10" s="222">
        <f t="shared" si="2"/>
        <v>2782.6256947086113</v>
      </c>
      <c r="N10" s="222">
        <f t="shared" si="2"/>
        <v>2925.5203319826223</v>
      </c>
      <c r="O10" s="222">
        <f t="shared" si="2"/>
        <v>2684.9623033941916</v>
      </c>
      <c r="P10" s="222">
        <f t="shared" si="2"/>
        <v>2769.5394789110624</v>
      </c>
      <c r="Q10" s="222">
        <f t="shared" si="2"/>
        <v>2550.1399466447906</v>
      </c>
    </row>
    <row r="11" spans="1:17" ht="11.4" customHeight="1">
      <c r="A11" s="223" t="s">
        <v>516</v>
      </c>
      <c r="B11" s="222">
        <v>0</v>
      </c>
      <c r="C11" s="222">
        <v>0</v>
      </c>
      <c r="D11" s="222">
        <v>0</v>
      </c>
      <c r="E11" s="222">
        <v>0</v>
      </c>
      <c r="F11" s="222">
        <v>0</v>
      </c>
      <c r="G11" s="222">
        <v>0</v>
      </c>
      <c r="H11" s="222">
        <v>0</v>
      </c>
      <c r="I11" s="222">
        <v>0</v>
      </c>
      <c r="J11" s="222">
        <v>0.30001</v>
      </c>
      <c r="K11" s="222">
        <v>1.3000100000000001</v>
      </c>
      <c r="L11" s="222">
        <v>13.924747099555175</v>
      </c>
      <c r="M11" s="222">
        <v>16.337056639204022</v>
      </c>
      <c r="N11" s="222">
        <v>35.420777634157716</v>
      </c>
      <c r="O11" s="222">
        <v>45.834405693844857</v>
      </c>
      <c r="P11" s="222">
        <v>49.871143286841281</v>
      </c>
      <c r="Q11" s="222">
        <v>29.87994793768646</v>
      </c>
    </row>
    <row r="12" spans="1:17" ht="11.4" customHeight="1">
      <c r="A12" s="223" t="s">
        <v>517</v>
      </c>
      <c r="B12" s="222">
        <v>0</v>
      </c>
      <c r="C12" s="222">
        <v>0</v>
      </c>
      <c r="D12" s="222">
        <v>0</v>
      </c>
      <c r="E12" s="222">
        <v>0</v>
      </c>
      <c r="F12" s="222">
        <v>41.79945</v>
      </c>
      <c r="G12" s="222">
        <v>153.00469668444694</v>
      </c>
      <c r="H12" s="222">
        <v>329.19986999999998</v>
      </c>
      <c r="I12" s="222">
        <v>295.09998999999999</v>
      </c>
      <c r="J12" s="222">
        <v>401.80412999999999</v>
      </c>
      <c r="K12" s="222">
        <v>573.5</v>
      </c>
      <c r="L12" s="222">
        <v>748.97435975053315</v>
      </c>
      <c r="M12" s="222">
        <v>781.62319671347814</v>
      </c>
      <c r="N12" s="222">
        <v>791.77260861248999</v>
      </c>
      <c r="O12" s="222">
        <v>765.14299096104492</v>
      </c>
      <c r="P12" s="222">
        <v>779.09134466839123</v>
      </c>
      <c r="Q12" s="222">
        <v>744.22127361252456</v>
      </c>
    </row>
    <row r="13" spans="1:17" ht="11.4" customHeight="1">
      <c r="A13" s="223" t="s">
        <v>518</v>
      </c>
      <c r="B13" s="222">
        <v>236.50518346446879</v>
      </c>
      <c r="C13" s="222">
        <v>328.99349999999998</v>
      </c>
      <c r="D13" s="222">
        <v>510.3</v>
      </c>
      <c r="E13" s="222">
        <v>720.70037000000002</v>
      </c>
      <c r="F13" s="222">
        <v>898.88434000000007</v>
      </c>
      <c r="G13" s="222">
        <v>1695.2090575998438</v>
      </c>
      <c r="H13" s="222">
        <v>3009.2038599999996</v>
      </c>
      <c r="I13" s="222">
        <v>3451.0095999999999</v>
      </c>
      <c r="J13" s="222">
        <v>2520.9606600000002</v>
      </c>
      <c r="K13" s="222">
        <v>2042.00038</v>
      </c>
      <c r="L13" s="222">
        <v>2112.0483384894692</v>
      </c>
      <c r="M13" s="222">
        <v>1984.6654413559293</v>
      </c>
      <c r="N13" s="222">
        <v>2098.3269457359747</v>
      </c>
      <c r="O13" s="222">
        <v>1873.984906739302</v>
      </c>
      <c r="P13" s="222">
        <v>1940.5769909558296</v>
      </c>
      <c r="Q13" s="222">
        <v>1776.0387250945796</v>
      </c>
    </row>
    <row r="14" spans="1:17" ht="11.4" customHeight="1">
      <c r="A14" s="223" t="s">
        <v>519</v>
      </c>
      <c r="B14" s="222">
        <v>0</v>
      </c>
      <c r="C14" s="222">
        <v>0</v>
      </c>
      <c r="D14" s="222">
        <v>0</v>
      </c>
      <c r="E14" s="222">
        <v>0</v>
      </c>
      <c r="F14" s="222">
        <v>0</v>
      </c>
      <c r="G14" s="222">
        <v>0</v>
      </c>
      <c r="H14" s="222">
        <v>0</v>
      </c>
      <c r="I14" s="222">
        <v>0</v>
      </c>
      <c r="J14" s="222">
        <v>0</v>
      </c>
      <c r="K14" s="222">
        <v>0</v>
      </c>
      <c r="L14" s="222">
        <v>0</v>
      </c>
      <c r="M14" s="222">
        <v>0</v>
      </c>
      <c r="N14" s="222">
        <v>0</v>
      </c>
      <c r="O14" s="222">
        <v>0</v>
      </c>
      <c r="P14" s="222">
        <v>0</v>
      </c>
      <c r="Q14" s="222">
        <v>0</v>
      </c>
    </row>
    <row r="15" spans="1:17" ht="11.4" customHeight="1">
      <c r="A15" s="224" t="s">
        <v>520</v>
      </c>
      <c r="B15" s="225">
        <v>1.9140912399083791</v>
      </c>
      <c r="C15" s="225">
        <v>2.0735597167562139</v>
      </c>
      <c r="D15" s="225">
        <v>2.2993190073411207</v>
      </c>
      <c r="E15" s="225">
        <v>2.1549565554681021</v>
      </c>
      <c r="F15" s="225">
        <v>1.9881770221478632</v>
      </c>
      <c r="G15" s="225">
        <v>1.8378834996698339</v>
      </c>
      <c r="H15" s="225">
        <v>1.6927132906449998</v>
      </c>
      <c r="I15" s="225">
        <v>1.5457046042825742</v>
      </c>
      <c r="J15" s="225">
        <v>2.0352613680077258</v>
      </c>
      <c r="K15" s="225">
        <v>2.5647624576336958</v>
      </c>
      <c r="L15" s="225">
        <v>2.837153131066207</v>
      </c>
      <c r="M15" s="225">
        <v>4.3425795823771969</v>
      </c>
      <c r="N15" s="225">
        <v>6.3632849500651334</v>
      </c>
      <c r="O15" s="225">
        <v>9.6510598060187398</v>
      </c>
      <c r="P15" s="225">
        <v>14.689983978160331</v>
      </c>
      <c r="Q15" s="225">
        <v>22.610618043745738</v>
      </c>
    </row>
    <row r="17" spans="1:17" ht="11.4" customHeight="1">
      <c r="A17" s="217" t="s">
        <v>521</v>
      </c>
      <c r="B17" s="226">
        <f t="shared" ref="B17:Q17" si="3">B18+B42</f>
        <v>57172.165494590474</v>
      </c>
      <c r="C17" s="226">
        <f t="shared" si="3"/>
        <v>55987.488219716754</v>
      </c>
      <c r="D17" s="226">
        <f t="shared" si="3"/>
        <v>55417.259479007342</v>
      </c>
      <c r="E17" s="226">
        <f t="shared" si="3"/>
        <v>53010.296746555468</v>
      </c>
      <c r="F17" s="226">
        <f t="shared" si="3"/>
        <v>53165.943817022155</v>
      </c>
      <c r="G17" s="226">
        <f t="shared" si="3"/>
        <v>51372.579051132307</v>
      </c>
      <c r="H17" s="226">
        <f t="shared" si="3"/>
        <v>52282.499543290643</v>
      </c>
      <c r="I17" s="226">
        <f t="shared" si="3"/>
        <v>51019.02628460429</v>
      </c>
      <c r="J17" s="226">
        <f t="shared" si="3"/>
        <v>50416.54268136801</v>
      </c>
      <c r="K17" s="226">
        <f t="shared" si="3"/>
        <v>49732.414762457636</v>
      </c>
      <c r="L17" s="226">
        <f t="shared" si="3"/>
        <v>50317.892363755382</v>
      </c>
      <c r="M17" s="226">
        <f t="shared" si="3"/>
        <v>50895.913298215877</v>
      </c>
      <c r="N17" s="226">
        <f t="shared" si="3"/>
        <v>50552.555249900346</v>
      </c>
      <c r="O17" s="226">
        <f t="shared" si="3"/>
        <v>51637.478797994525</v>
      </c>
      <c r="P17" s="226">
        <f t="shared" si="3"/>
        <v>52830.808270737427</v>
      </c>
      <c r="Q17" s="226">
        <f t="shared" si="3"/>
        <v>52575.12526711102</v>
      </c>
    </row>
    <row r="18" spans="1:17" ht="11.4" customHeight="1">
      <c r="A18" s="227" t="s">
        <v>522</v>
      </c>
      <c r="B18" s="228">
        <f t="shared" ref="B18:Q18" si="4">B19+B21+B33</f>
        <v>39245.481565671224</v>
      </c>
      <c r="C18" s="228">
        <f t="shared" si="4"/>
        <v>39094.383990165123</v>
      </c>
      <c r="D18" s="228">
        <f t="shared" si="4"/>
        <v>38929.337362493286</v>
      </c>
      <c r="E18" s="228">
        <f t="shared" si="4"/>
        <v>37151.77902874432</v>
      </c>
      <c r="F18" s="228">
        <f t="shared" si="4"/>
        <v>37806.464530813093</v>
      </c>
      <c r="G18" s="228">
        <f t="shared" si="4"/>
        <v>36438.272957674562</v>
      </c>
      <c r="H18" s="228">
        <f t="shared" si="4"/>
        <v>36451.60740618335</v>
      </c>
      <c r="I18" s="228">
        <f t="shared" si="4"/>
        <v>35446.516579524454</v>
      </c>
      <c r="J18" s="228">
        <f t="shared" si="4"/>
        <v>35126.161430941182</v>
      </c>
      <c r="K18" s="228">
        <f t="shared" si="4"/>
        <v>34964.02015817599</v>
      </c>
      <c r="L18" s="228">
        <f t="shared" si="4"/>
        <v>34504.097114413416</v>
      </c>
      <c r="M18" s="228">
        <f t="shared" si="4"/>
        <v>35112.848370453379</v>
      </c>
      <c r="N18" s="228">
        <f t="shared" si="4"/>
        <v>34078.95632854673</v>
      </c>
      <c r="O18" s="228">
        <f t="shared" si="4"/>
        <v>34827.977363548503</v>
      </c>
      <c r="P18" s="228">
        <f t="shared" si="4"/>
        <v>36567.413544408126</v>
      </c>
      <c r="Q18" s="228">
        <f t="shared" si="4"/>
        <v>35635.869992278655</v>
      </c>
    </row>
    <row r="19" spans="1:17" ht="11.4" customHeight="1">
      <c r="A19" s="229" t="s">
        <v>523</v>
      </c>
      <c r="B19" s="230">
        <v>458.20217229793633</v>
      </c>
      <c r="C19" s="230">
        <v>461.46978537068884</v>
      </c>
      <c r="D19" s="230">
        <v>477.84248145672115</v>
      </c>
      <c r="E19" s="230">
        <v>468.42537246297888</v>
      </c>
      <c r="F19" s="230">
        <v>482.94087525317656</v>
      </c>
      <c r="G19" s="230">
        <v>484.61585234212288</v>
      </c>
      <c r="H19" s="230">
        <v>491.79628170631509</v>
      </c>
      <c r="I19" s="230">
        <v>415.02851014306862</v>
      </c>
      <c r="J19" s="230">
        <v>425.20603506424948</v>
      </c>
      <c r="K19" s="230">
        <v>433.1864372050253</v>
      </c>
      <c r="L19" s="230">
        <v>430.64465286089609</v>
      </c>
      <c r="M19" s="230">
        <v>447.73995980151903</v>
      </c>
      <c r="N19" s="230">
        <v>444.80287697931595</v>
      </c>
      <c r="O19" s="230">
        <v>461.81459948313744</v>
      </c>
      <c r="P19" s="230">
        <v>480.91522213169952</v>
      </c>
      <c r="Q19" s="230">
        <v>467.53746183290338</v>
      </c>
    </row>
    <row r="20" spans="1:17" ht="11.4" customHeight="1">
      <c r="A20" s="231" t="s">
        <v>524</v>
      </c>
      <c r="B20" s="232">
        <v>0</v>
      </c>
      <c r="C20" s="232">
        <v>0</v>
      </c>
      <c r="D20" s="232">
        <v>0</v>
      </c>
      <c r="E20" s="232">
        <v>0</v>
      </c>
      <c r="F20" s="232">
        <v>0.78666120831119013</v>
      </c>
      <c r="G20" s="232">
        <v>3.1057608259622875</v>
      </c>
      <c r="H20" s="232">
        <v>7.0629734818164804</v>
      </c>
      <c r="I20" s="232">
        <v>5.6655963690510216</v>
      </c>
      <c r="J20" s="232">
        <v>8.0807812415359201</v>
      </c>
      <c r="K20" s="232">
        <v>12.241565627097831</v>
      </c>
      <c r="L20" s="232">
        <v>16.449140583222707</v>
      </c>
      <c r="M20" s="232">
        <v>17.890879331784216</v>
      </c>
      <c r="N20" s="232">
        <v>19.130508843621232</v>
      </c>
      <c r="O20" s="232">
        <v>19.250258043659041</v>
      </c>
      <c r="P20" s="232">
        <v>20.295257001268787</v>
      </c>
      <c r="Q20" s="232">
        <v>19.691020651630659</v>
      </c>
    </row>
    <row r="21" spans="1:17" ht="11.4" customHeight="1">
      <c r="A21" s="233" t="s">
        <v>525</v>
      </c>
      <c r="B21" s="234">
        <f>B22+B24+B26+B27+B29+B32</f>
        <v>36637.412978353663</v>
      </c>
      <c r="C21" s="234">
        <f t="shared" ref="C21:Q21" si="5">C22+C24+C26+C27+C29+C32</f>
        <v>36524.676498953857</v>
      </c>
      <c r="D21" s="234">
        <f t="shared" si="5"/>
        <v>36394.57430861063</v>
      </c>
      <c r="E21" s="234">
        <f t="shared" si="5"/>
        <v>34639.482584856931</v>
      </c>
      <c r="F21" s="234">
        <f t="shared" si="5"/>
        <v>35271.962723092453</v>
      </c>
      <c r="G21" s="234">
        <f t="shared" si="5"/>
        <v>33956.049156274144</v>
      </c>
      <c r="H21" s="234">
        <f t="shared" si="5"/>
        <v>33935.954404945129</v>
      </c>
      <c r="I21" s="234">
        <f t="shared" si="5"/>
        <v>33155.395480825173</v>
      </c>
      <c r="J21" s="234">
        <f t="shared" si="5"/>
        <v>32908.397361939824</v>
      </c>
      <c r="K21" s="234">
        <f t="shared" si="5"/>
        <v>32802.546621769965</v>
      </c>
      <c r="L21" s="234">
        <f t="shared" si="5"/>
        <v>32371.719351774667</v>
      </c>
      <c r="M21" s="234">
        <f t="shared" si="5"/>
        <v>32988.473694506742</v>
      </c>
      <c r="N21" s="234">
        <f t="shared" si="5"/>
        <v>32026.08493564777</v>
      </c>
      <c r="O21" s="234">
        <f t="shared" si="5"/>
        <v>32741.69026153499</v>
      </c>
      <c r="P21" s="234">
        <f t="shared" si="5"/>
        <v>34411.160472871888</v>
      </c>
      <c r="Q21" s="234">
        <f t="shared" si="5"/>
        <v>33421.456540151346</v>
      </c>
    </row>
    <row r="22" spans="1:17" ht="11.4" customHeight="1">
      <c r="A22" s="235" t="s">
        <v>526</v>
      </c>
      <c r="B22" s="236">
        <v>29893.561166334788</v>
      </c>
      <c r="C22" s="236">
        <v>28992.527348940239</v>
      </c>
      <c r="D22" s="236">
        <v>28181.164686276392</v>
      </c>
      <c r="E22" s="236">
        <v>25779.006376032532</v>
      </c>
      <c r="F22" s="236">
        <v>24948.003944584932</v>
      </c>
      <c r="G22" s="236">
        <v>23179.640744310022</v>
      </c>
      <c r="H22" s="236">
        <v>22242.086483536281</v>
      </c>
      <c r="I22" s="236">
        <v>21022.229631828613</v>
      </c>
      <c r="J22" s="236">
        <v>20559.173011946932</v>
      </c>
      <c r="K22" s="236">
        <v>19713.607834781469</v>
      </c>
      <c r="L22" s="236">
        <v>19041.138410999498</v>
      </c>
      <c r="M22" s="236">
        <v>18982.566727960526</v>
      </c>
      <c r="N22" s="236">
        <v>17845.142327323145</v>
      </c>
      <c r="O22" s="236">
        <v>17778.174036071567</v>
      </c>
      <c r="P22" s="236">
        <v>17865.47536380887</v>
      </c>
      <c r="Q22" s="236">
        <v>17089.185566417837</v>
      </c>
    </row>
    <row r="23" spans="1:17" ht="11.4" customHeight="1">
      <c r="A23" s="237" t="s">
        <v>524</v>
      </c>
      <c r="B23" s="236">
        <v>0</v>
      </c>
      <c r="C23" s="236">
        <v>0</v>
      </c>
      <c r="D23" s="236">
        <v>0</v>
      </c>
      <c r="E23" s="236">
        <v>0</v>
      </c>
      <c r="F23" s="236">
        <v>40.637742493242044</v>
      </c>
      <c r="G23" s="236">
        <v>148.55151732167135</v>
      </c>
      <c r="H23" s="236">
        <v>319.43158754359547</v>
      </c>
      <c r="I23" s="236">
        <v>286.97659307884084</v>
      </c>
      <c r="J23" s="236">
        <v>390.71453816813562</v>
      </c>
      <c r="K23" s="236">
        <v>557.09367452363028</v>
      </c>
      <c r="L23" s="236">
        <v>727.30582048653389</v>
      </c>
      <c r="M23" s="236">
        <v>758.50904817169612</v>
      </c>
      <c r="N23" s="236">
        <v>767.50100050366814</v>
      </c>
      <c r="O23" s="236">
        <v>741.0645703329551</v>
      </c>
      <c r="P23" s="236">
        <v>753.94663606435529</v>
      </c>
      <c r="Q23" s="236">
        <v>719.73592145680857</v>
      </c>
    </row>
    <row r="24" spans="1:17" ht="11.4" customHeight="1">
      <c r="A24" s="235" t="s">
        <v>527</v>
      </c>
      <c r="B24" s="236">
        <v>6674.6343104727757</v>
      </c>
      <c r="C24" s="236">
        <v>7464.0493500136135</v>
      </c>
      <c r="D24" s="236">
        <v>8133.2056323342367</v>
      </c>
      <c r="E24" s="236">
        <v>8777.6716388244004</v>
      </c>
      <c r="F24" s="236">
        <v>10213.048134683204</v>
      </c>
      <c r="G24" s="236">
        <v>10613.046188163862</v>
      </c>
      <c r="H24" s="236">
        <v>11473.896916162203</v>
      </c>
      <c r="I24" s="236">
        <v>11813.722739147506</v>
      </c>
      <c r="J24" s="236">
        <v>11872.653846678497</v>
      </c>
      <c r="K24" s="236">
        <v>12378.285947460821</v>
      </c>
      <c r="L24" s="236">
        <v>12638.206702814408</v>
      </c>
      <c r="M24" s="236">
        <v>13268.700986657481</v>
      </c>
      <c r="N24" s="236">
        <v>13424.321429154321</v>
      </c>
      <c r="O24" s="236">
        <v>14206.547461028758</v>
      </c>
      <c r="P24" s="236">
        <v>15745.169263506883</v>
      </c>
      <c r="Q24" s="236">
        <v>15582.126886932389</v>
      </c>
    </row>
    <row r="25" spans="1:17" ht="11.4" customHeight="1">
      <c r="A25" s="237" t="s">
        <v>524</v>
      </c>
      <c r="B25" s="236">
        <v>59.746477630546899</v>
      </c>
      <c r="C25" s="236">
        <v>93.91262263205877</v>
      </c>
      <c r="D25" s="236">
        <v>157.4114846292851</v>
      </c>
      <c r="E25" s="236">
        <v>239.74848441028007</v>
      </c>
      <c r="F25" s="236">
        <v>335.8015337859012</v>
      </c>
      <c r="G25" s="236">
        <v>659.03732590751974</v>
      </c>
      <c r="H25" s="236">
        <v>1187.4819742272914</v>
      </c>
      <c r="I25" s="236">
        <v>1405.1269688733553</v>
      </c>
      <c r="J25" s="236">
        <v>1041.6569500878966</v>
      </c>
      <c r="K25" s="236">
        <v>882.28751014807108</v>
      </c>
      <c r="L25" s="236">
        <v>892.39501033351826</v>
      </c>
      <c r="M25" s="236">
        <v>863.63101970396792</v>
      </c>
      <c r="N25" s="236">
        <v>902.12421382755076</v>
      </c>
      <c r="O25" s="236">
        <v>823.48685366258769</v>
      </c>
      <c r="P25" s="236">
        <v>915.75371142833728</v>
      </c>
      <c r="Q25" s="236">
        <v>813.35118709624805</v>
      </c>
    </row>
    <row r="26" spans="1:17" ht="11.4" customHeight="1">
      <c r="A26" s="235" t="s">
        <v>528</v>
      </c>
      <c r="B26" s="236">
        <v>69.217501546098404</v>
      </c>
      <c r="C26" s="236">
        <v>68.099800000000002</v>
      </c>
      <c r="D26" s="236">
        <v>80.203990000000005</v>
      </c>
      <c r="E26" s="236">
        <v>82.804569999999998</v>
      </c>
      <c r="F26" s="236">
        <v>110.91064382431757</v>
      </c>
      <c r="G26" s="236">
        <v>121.85860200558091</v>
      </c>
      <c r="H26" s="236">
        <v>172.82003776246071</v>
      </c>
      <c r="I26" s="236">
        <v>273.92040007853865</v>
      </c>
      <c r="J26" s="236">
        <v>431.69894839698753</v>
      </c>
      <c r="K26" s="236">
        <v>625.18693087025895</v>
      </c>
      <c r="L26" s="236">
        <v>607.21389586879309</v>
      </c>
      <c r="M26" s="236">
        <v>617.85970473762325</v>
      </c>
      <c r="N26" s="236">
        <v>614.08092490230445</v>
      </c>
      <c r="O26" s="236">
        <v>598.37326441353957</v>
      </c>
      <c r="P26" s="236">
        <v>632.15595368559366</v>
      </c>
      <c r="Q26" s="236">
        <v>580.35320833647677</v>
      </c>
    </row>
    <row r="27" spans="1:17" ht="11.4" customHeight="1">
      <c r="A27" s="235" t="s">
        <v>529</v>
      </c>
      <c r="B27" s="236">
        <v>0</v>
      </c>
      <c r="C27" s="236">
        <v>0</v>
      </c>
      <c r="D27" s="236">
        <v>0</v>
      </c>
      <c r="E27" s="236">
        <v>0</v>
      </c>
      <c r="F27" s="236">
        <v>0</v>
      </c>
      <c r="G27" s="236">
        <v>41.503621794682061</v>
      </c>
      <c r="H27" s="236">
        <v>47.141715470058614</v>
      </c>
      <c r="I27" s="236">
        <v>45.509997483665366</v>
      </c>
      <c r="J27" s="236">
        <v>44.382445875242077</v>
      </c>
      <c r="K27" s="236">
        <v>84.48417561538173</v>
      </c>
      <c r="L27" s="236">
        <v>83.963485289514097</v>
      </c>
      <c r="M27" s="236">
        <v>116.8717007589581</v>
      </c>
      <c r="N27" s="236">
        <v>138.55324924550109</v>
      </c>
      <c r="O27" s="236">
        <v>151.2480116314623</v>
      </c>
      <c r="P27" s="236">
        <v>155.6214189998052</v>
      </c>
      <c r="Q27" s="236">
        <v>147.72325435686247</v>
      </c>
    </row>
    <row r="28" spans="1:17" ht="11.4" customHeight="1">
      <c r="A28" s="237" t="s">
        <v>530</v>
      </c>
      <c r="B28" s="236">
        <v>0</v>
      </c>
      <c r="C28" s="236">
        <v>0</v>
      </c>
      <c r="D28" s="236">
        <v>0</v>
      </c>
      <c r="E28" s="236">
        <v>0</v>
      </c>
      <c r="F28" s="236">
        <v>0</v>
      </c>
      <c r="G28" s="236">
        <v>0</v>
      </c>
      <c r="H28" s="236">
        <v>0</v>
      </c>
      <c r="I28" s="236">
        <v>0</v>
      </c>
      <c r="J28" s="236">
        <v>0.13727009845615601</v>
      </c>
      <c r="K28" s="236">
        <v>0.74360500367639359</v>
      </c>
      <c r="L28" s="236">
        <v>7.6689297904659028</v>
      </c>
      <c r="M28" s="236">
        <v>10.444247902840663</v>
      </c>
      <c r="N28" s="236">
        <v>23.906246424942097</v>
      </c>
      <c r="O28" s="236">
        <v>31.256115273009609</v>
      </c>
      <c r="P28" s="236">
        <v>34.060617120923773</v>
      </c>
      <c r="Q28" s="236">
        <v>21.393230781522604</v>
      </c>
    </row>
    <row r="29" spans="1:17" ht="11.4" customHeight="1">
      <c r="A29" s="235" t="s">
        <v>531</v>
      </c>
      <c r="B29" s="236">
        <v>0</v>
      </c>
      <c r="C29" s="236">
        <v>0</v>
      </c>
      <c r="D29" s="236">
        <v>0</v>
      </c>
      <c r="E29" s="236">
        <v>0</v>
      </c>
      <c r="F29" s="236">
        <v>0</v>
      </c>
      <c r="G29" s="236">
        <v>0</v>
      </c>
      <c r="H29" s="236">
        <v>0</v>
      </c>
      <c r="I29" s="236">
        <v>0</v>
      </c>
      <c r="J29" s="236">
        <v>0</v>
      </c>
      <c r="K29" s="236">
        <v>0</v>
      </c>
      <c r="L29" s="236">
        <v>0</v>
      </c>
      <c r="M29" s="236">
        <v>0</v>
      </c>
      <c r="N29" s="236">
        <v>0</v>
      </c>
      <c r="O29" s="236">
        <v>0.42798790915054696</v>
      </c>
      <c r="P29" s="236">
        <v>1.6722847671855439</v>
      </c>
      <c r="Q29" s="236">
        <v>4.9700644811380084</v>
      </c>
    </row>
    <row r="30" spans="1:17" ht="11.4" customHeight="1">
      <c r="A30" s="237" t="s">
        <v>524</v>
      </c>
      <c r="B30" s="236">
        <v>0</v>
      </c>
      <c r="C30" s="236">
        <v>0</v>
      </c>
      <c r="D30" s="236">
        <v>0</v>
      </c>
      <c r="E30" s="236">
        <v>0</v>
      </c>
      <c r="F30" s="236">
        <v>0</v>
      </c>
      <c r="G30" s="236">
        <v>0</v>
      </c>
      <c r="H30" s="236">
        <v>0</v>
      </c>
      <c r="I30" s="236">
        <v>0</v>
      </c>
      <c r="J30" s="236">
        <v>0</v>
      </c>
      <c r="K30" s="236">
        <v>0</v>
      </c>
      <c r="L30" s="236">
        <v>0</v>
      </c>
      <c r="M30" s="236">
        <v>0</v>
      </c>
      <c r="N30" s="236">
        <v>0</v>
      </c>
      <c r="O30" s="236">
        <v>1.1746871404244979E-2</v>
      </c>
      <c r="P30" s="236">
        <v>4.6291280991125901E-2</v>
      </c>
      <c r="Q30" s="236">
        <v>0.13682594616912794</v>
      </c>
    </row>
    <row r="31" spans="1:17" ht="11.4" customHeight="1">
      <c r="A31" s="237" t="s">
        <v>532</v>
      </c>
      <c r="B31" s="236">
        <v>0</v>
      </c>
      <c r="C31" s="236">
        <v>0</v>
      </c>
      <c r="D31" s="236">
        <v>0</v>
      </c>
      <c r="E31" s="236">
        <v>0</v>
      </c>
      <c r="F31" s="236">
        <v>0</v>
      </c>
      <c r="G31" s="236">
        <v>0</v>
      </c>
      <c r="H31" s="236">
        <v>0</v>
      </c>
      <c r="I31" s="236">
        <v>0</v>
      </c>
      <c r="J31" s="236">
        <v>0</v>
      </c>
      <c r="K31" s="236">
        <v>0</v>
      </c>
      <c r="L31" s="236">
        <v>0</v>
      </c>
      <c r="M31" s="236">
        <v>0</v>
      </c>
      <c r="N31" s="236">
        <v>0</v>
      </c>
      <c r="O31" s="236">
        <v>0.14617990946410911</v>
      </c>
      <c r="P31" s="236">
        <v>0.57536928199526105</v>
      </c>
      <c r="Q31" s="236">
        <v>1.7213118280091861</v>
      </c>
    </row>
    <row r="32" spans="1:17" ht="11.4" customHeight="1">
      <c r="A32" s="235" t="s">
        <v>533</v>
      </c>
      <c r="B32" s="236">
        <v>0</v>
      </c>
      <c r="C32" s="236">
        <v>0</v>
      </c>
      <c r="D32" s="236">
        <v>0</v>
      </c>
      <c r="E32" s="236">
        <v>0</v>
      </c>
      <c r="F32" s="236">
        <v>0</v>
      </c>
      <c r="G32" s="236">
        <v>0</v>
      </c>
      <c r="H32" s="236">
        <v>9.2520141263315765E-3</v>
      </c>
      <c r="I32" s="236">
        <v>1.2712286853680364E-2</v>
      </c>
      <c r="J32" s="236">
        <v>0.48910904216794732</v>
      </c>
      <c r="K32" s="236">
        <v>0.98173304203094924</v>
      </c>
      <c r="L32" s="236">
        <v>1.1968568024542541</v>
      </c>
      <c r="M32" s="236">
        <v>2.4745743921501839</v>
      </c>
      <c r="N32" s="236">
        <v>3.9870050224967644</v>
      </c>
      <c r="O32" s="236">
        <v>6.9195004805110134</v>
      </c>
      <c r="P32" s="236">
        <v>11.066188103557471</v>
      </c>
      <c r="Q32" s="236">
        <v>17.097559626643761</v>
      </c>
    </row>
    <row r="33" spans="1:17" ht="11.4" customHeight="1">
      <c r="A33" s="233" t="s">
        <v>534</v>
      </c>
      <c r="B33" s="234">
        <f>B34+B36+B38+B39+B41</f>
        <v>2149.8664150196296</v>
      </c>
      <c r="C33" s="234">
        <f t="shared" ref="C33:Q33" si="6">C34+C36+C38+C39+C41</f>
        <v>2108.237705840575</v>
      </c>
      <c r="D33" s="234">
        <f t="shared" si="6"/>
        <v>2056.9205724259341</v>
      </c>
      <c r="E33" s="234">
        <f t="shared" si="6"/>
        <v>2043.8710714244071</v>
      </c>
      <c r="F33" s="234">
        <f t="shared" si="6"/>
        <v>2051.5609324674647</v>
      </c>
      <c r="G33" s="234">
        <f t="shared" si="6"/>
        <v>1997.6079490582899</v>
      </c>
      <c r="H33" s="234">
        <f t="shared" si="6"/>
        <v>2023.8567195319083</v>
      </c>
      <c r="I33" s="234">
        <f t="shared" si="6"/>
        <v>1876.0925885562074</v>
      </c>
      <c r="J33" s="234">
        <f t="shared" si="6"/>
        <v>1792.5580339371068</v>
      </c>
      <c r="K33" s="234">
        <f t="shared" si="6"/>
        <v>1728.287099200996</v>
      </c>
      <c r="L33" s="234">
        <f t="shared" si="6"/>
        <v>1701.7331097778526</v>
      </c>
      <c r="M33" s="234">
        <f t="shared" si="6"/>
        <v>1676.6347161451188</v>
      </c>
      <c r="N33" s="234">
        <f t="shared" si="6"/>
        <v>1608.068515919641</v>
      </c>
      <c r="O33" s="234">
        <f t="shared" si="6"/>
        <v>1624.4725025303753</v>
      </c>
      <c r="P33" s="234">
        <f t="shared" si="6"/>
        <v>1675.3378494045401</v>
      </c>
      <c r="Q33" s="234">
        <f t="shared" si="6"/>
        <v>1746.8759902944084</v>
      </c>
    </row>
    <row r="34" spans="1:17" ht="11.4" customHeight="1">
      <c r="A34" s="235" t="s">
        <v>526</v>
      </c>
      <c r="B34" s="238">
        <v>0</v>
      </c>
      <c r="C34" s="238">
        <v>0</v>
      </c>
      <c r="D34" s="238">
        <v>0</v>
      </c>
      <c r="E34" s="238">
        <v>0</v>
      </c>
      <c r="F34" s="238">
        <v>0</v>
      </c>
      <c r="G34" s="238">
        <v>0</v>
      </c>
      <c r="H34" s="238">
        <v>0</v>
      </c>
      <c r="I34" s="238">
        <v>0</v>
      </c>
      <c r="J34" s="238">
        <v>0</v>
      </c>
      <c r="K34" s="238">
        <v>0</v>
      </c>
      <c r="L34" s="238">
        <v>0</v>
      </c>
      <c r="M34" s="238">
        <v>0</v>
      </c>
      <c r="N34" s="238">
        <v>0</v>
      </c>
      <c r="O34" s="238">
        <v>0</v>
      </c>
      <c r="P34" s="238">
        <v>0</v>
      </c>
      <c r="Q34" s="238">
        <v>0</v>
      </c>
    </row>
    <row r="35" spans="1:17" ht="11.4" customHeight="1">
      <c r="A35" s="237" t="s">
        <v>524</v>
      </c>
      <c r="B35" s="238">
        <v>0</v>
      </c>
      <c r="C35" s="238">
        <v>0</v>
      </c>
      <c r="D35" s="238">
        <v>0</v>
      </c>
      <c r="E35" s="238">
        <v>0</v>
      </c>
      <c r="F35" s="238">
        <v>0</v>
      </c>
      <c r="G35" s="238">
        <v>0</v>
      </c>
      <c r="H35" s="238">
        <v>0</v>
      </c>
      <c r="I35" s="238">
        <v>0</v>
      </c>
      <c r="J35" s="238">
        <v>0</v>
      </c>
      <c r="K35" s="238">
        <v>0</v>
      </c>
      <c r="L35" s="238">
        <v>0</v>
      </c>
      <c r="M35" s="238">
        <v>0</v>
      </c>
      <c r="N35" s="238">
        <v>0</v>
      </c>
      <c r="O35" s="238">
        <v>0</v>
      </c>
      <c r="P35" s="238">
        <v>0</v>
      </c>
      <c r="Q35" s="238">
        <v>0</v>
      </c>
    </row>
    <row r="36" spans="1:17" ht="11.4" customHeight="1">
      <c r="A36" s="235" t="s">
        <v>527</v>
      </c>
      <c r="B36" s="238">
        <v>2129.8801014296164</v>
      </c>
      <c r="C36" s="238">
        <v>2081.4681906866726</v>
      </c>
      <c r="D36" s="238">
        <v>2022.2076252594215</v>
      </c>
      <c r="E36" s="238">
        <v>2001.3720489299428</v>
      </c>
      <c r="F36" s="238">
        <v>1996.8179029295966</v>
      </c>
      <c r="G36" s="238">
        <v>1963.0592956455916</v>
      </c>
      <c r="H36" s="238">
        <v>1977.4929193944281</v>
      </c>
      <c r="I36" s="238">
        <v>1833.5758374644117</v>
      </c>
      <c r="J36" s="238">
        <v>1763.5127731458779</v>
      </c>
      <c r="K36" s="238">
        <v>1694.5764449964834</v>
      </c>
      <c r="L36" s="238">
        <v>1666.0376909772092</v>
      </c>
      <c r="M36" s="238">
        <v>1643.6541935692373</v>
      </c>
      <c r="N36" s="238">
        <v>1573.2384127474572</v>
      </c>
      <c r="O36" s="238">
        <v>1585.1289121647114</v>
      </c>
      <c r="P36" s="238">
        <v>1635.0835394040373</v>
      </c>
      <c r="Q36" s="238">
        <v>1718.5013367445074</v>
      </c>
    </row>
    <row r="37" spans="1:17" ht="11.4" customHeight="1">
      <c r="A37" s="237" t="s">
        <v>524</v>
      </c>
      <c r="B37" s="238">
        <v>19.065139439346748</v>
      </c>
      <c r="C37" s="238">
        <v>26.189019866573506</v>
      </c>
      <c r="D37" s="238">
        <v>39.138160143799134</v>
      </c>
      <c r="E37" s="238">
        <v>54.664372878764233</v>
      </c>
      <c r="F37" s="238">
        <v>65.654574270995212</v>
      </c>
      <c r="G37" s="238">
        <v>121.89835713974271</v>
      </c>
      <c r="H37" s="238">
        <v>204.65271571919078</v>
      </c>
      <c r="I37" s="238">
        <v>218.08123358197022</v>
      </c>
      <c r="J37" s="238">
        <v>154.71537699370293</v>
      </c>
      <c r="K37" s="238">
        <v>120.76852617000418</v>
      </c>
      <c r="L37" s="238">
        <v>117.51618955414237</v>
      </c>
      <c r="M37" s="238">
        <v>106.86994782559685</v>
      </c>
      <c r="N37" s="238">
        <v>105.36542043118253</v>
      </c>
      <c r="O37" s="238">
        <v>91.451248374539261</v>
      </c>
      <c r="P37" s="238">
        <v>94.615494476982448</v>
      </c>
      <c r="Q37" s="238">
        <v>89.496833896404979</v>
      </c>
    </row>
    <row r="38" spans="1:17" ht="11.4" customHeight="1">
      <c r="A38" s="235" t="s">
        <v>528</v>
      </c>
      <c r="B38" s="238">
        <v>0</v>
      </c>
      <c r="C38" s="238">
        <v>0</v>
      </c>
      <c r="D38" s="238">
        <v>0</v>
      </c>
      <c r="E38" s="238">
        <v>0</v>
      </c>
      <c r="F38" s="238">
        <v>9.6146175682423701E-2</v>
      </c>
      <c r="G38" s="238">
        <v>9.7903580835897411E-2</v>
      </c>
      <c r="H38" s="238">
        <v>0.10171563488560925</v>
      </c>
      <c r="I38" s="238">
        <v>0.12954698907769019</v>
      </c>
      <c r="J38" s="238">
        <v>0.17753875810784561</v>
      </c>
      <c r="K38" s="238">
        <v>0.23162829649227665</v>
      </c>
      <c r="L38" s="238">
        <v>0.2523608887466588</v>
      </c>
      <c r="M38" s="238">
        <v>0.24497863318823793</v>
      </c>
      <c r="N38" s="238">
        <v>0.2393124001383844</v>
      </c>
      <c r="O38" s="238">
        <v>0.2340984314514068</v>
      </c>
      <c r="P38" s="238">
        <v>0.23108066975986963</v>
      </c>
      <c r="Q38" s="238">
        <v>0.23154527590972479</v>
      </c>
    </row>
    <row r="39" spans="1:17" ht="11.4" customHeight="1">
      <c r="A39" s="235" t="s">
        <v>529</v>
      </c>
      <c r="B39" s="238">
        <v>18.582214998581129</v>
      </c>
      <c r="C39" s="238">
        <v>25.19997</v>
      </c>
      <c r="D39" s="238">
        <v>32.900060000000003</v>
      </c>
      <c r="E39" s="238">
        <v>40.800000000000068</v>
      </c>
      <c r="F39" s="238">
        <v>53.094600000000014</v>
      </c>
      <c r="G39" s="238">
        <v>33.016286003594388</v>
      </c>
      <c r="H39" s="238">
        <v>44.944844591802436</v>
      </c>
      <c r="I39" s="238">
        <v>41.173106844371226</v>
      </c>
      <c r="J39" s="238">
        <v>27.65095140950643</v>
      </c>
      <c r="K39" s="238">
        <v>32.25450156433007</v>
      </c>
      <c r="L39" s="238">
        <v>34.277062362885857</v>
      </c>
      <c r="M39" s="238">
        <v>31.519752389724605</v>
      </c>
      <c r="N39" s="238">
        <v>33.363515578016418</v>
      </c>
      <c r="O39" s="238">
        <v>37.844260531415046</v>
      </c>
      <c r="P39" s="238">
        <v>38.562904437097124</v>
      </c>
      <c r="Q39" s="238">
        <v>26.42159611633366</v>
      </c>
    </row>
    <row r="40" spans="1:17" ht="11.4" customHeight="1">
      <c r="A40" s="237" t="s">
        <v>530</v>
      </c>
      <c r="B40" s="238">
        <v>0</v>
      </c>
      <c r="C40" s="238">
        <v>0</v>
      </c>
      <c r="D40" s="238">
        <v>0</v>
      </c>
      <c r="E40" s="238">
        <v>0</v>
      </c>
      <c r="F40" s="238">
        <v>0</v>
      </c>
      <c r="G40" s="238">
        <v>0</v>
      </c>
      <c r="H40" s="238">
        <v>0</v>
      </c>
      <c r="I40" s="238">
        <v>0</v>
      </c>
      <c r="J40" s="238">
        <v>8.5521398100924961E-2</v>
      </c>
      <c r="K40" s="238">
        <v>0.28389468891209846</v>
      </c>
      <c r="L40" s="238">
        <v>3.1307464641087428</v>
      </c>
      <c r="M40" s="238">
        <v>2.8167649281787739</v>
      </c>
      <c r="N40" s="238">
        <v>5.756605704693385</v>
      </c>
      <c r="O40" s="238">
        <v>7.8206950083676965</v>
      </c>
      <c r="P40" s="238">
        <v>8.4402027146686223</v>
      </c>
      <c r="Q40" s="238">
        <v>3.8263664430748321</v>
      </c>
    </row>
    <row r="41" spans="1:17" ht="11.4" customHeight="1">
      <c r="A41" s="235" t="s">
        <v>533</v>
      </c>
      <c r="B41" s="238">
        <v>1.4040985914322699</v>
      </c>
      <c r="C41" s="238">
        <v>1.5695451539021943</v>
      </c>
      <c r="D41" s="238">
        <v>1.8128871665124782</v>
      </c>
      <c r="E41" s="238">
        <v>1.6990224944642751</v>
      </c>
      <c r="F41" s="238">
        <v>1.5522833621858154</v>
      </c>
      <c r="G41" s="238">
        <v>1.4344638282679727</v>
      </c>
      <c r="H41" s="238">
        <v>1.3172399107922912</v>
      </c>
      <c r="I41" s="238">
        <v>1.2140972583468796</v>
      </c>
      <c r="J41" s="238">
        <v>1.2167706236146472</v>
      </c>
      <c r="K41" s="238">
        <v>1.224524343690373</v>
      </c>
      <c r="L41" s="238">
        <v>1.1659955490111176</v>
      </c>
      <c r="M41" s="238">
        <v>1.2157915529684908</v>
      </c>
      <c r="N41" s="238">
        <v>1.2272751940287794</v>
      </c>
      <c r="O41" s="238">
        <v>1.2652314027972507</v>
      </c>
      <c r="P41" s="238">
        <v>1.460324893645824</v>
      </c>
      <c r="Q41" s="238">
        <v>1.7215121576579044</v>
      </c>
    </row>
    <row r="42" spans="1:17" ht="11.4" customHeight="1">
      <c r="A42" s="227" t="s">
        <v>535</v>
      </c>
      <c r="B42" s="228">
        <f t="shared" ref="B42:Q42" si="7">B43+B52</f>
        <v>17926.68392891925</v>
      </c>
      <c r="C42" s="228">
        <f t="shared" si="7"/>
        <v>16893.104229551631</v>
      </c>
      <c r="D42" s="228">
        <f t="shared" si="7"/>
        <v>16487.922116514055</v>
      </c>
      <c r="E42" s="228">
        <f t="shared" si="7"/>
        <v>15858.51771781115</v>
      </c>
      <c r="F42" s="228">
        <f t="shared" si="7"/>
        <v>15359.479286209058</v>
      </c>
      <c r="G42" s="228">
        <f t="shared" si="7"/>
        <v>14934.306093457744</v>
      </c>
      <c r="H42" s="228">
        <f t="shared" si="7"/>
        <v>15830.892137107294</v>
      </c>
      <c r="I42" s="228">
        <f t="shared" si="7"/>
        <v>15572.509705079834</v>
      </c>
      <c r="J42" s="228">
        <f t="shared" si="7"/>
        <v>15290.381250426824</v>
      </c>
      <c r="K42" s="228">
        <f t="shared" si="7"/>
        <v>14768.394604281646</v>
      </c>
      <c r="L42" s="228">
        <f t="shared" si="7"/>
        <v>15813.795249341967</v>
      </c>
      <c r="M42" s="228">
        <f t="shared" si="7"/>
        <v>15783.064927762502</v>
      </c>
      <c r="N42" s="228">
        <f t="shared" si="7"/>
        <v>16473.598921353616</v>
      </c>
      <c r="O42" s="228">
        <f t="shared" si="7"/>
        <v>16809.501434446021</v>
      </c>
      <c r="P42" s="228">
        <f t="shared" si="7"/>
        <v>16263.394726329305</v>
      </c>
      <c r="Q42" s="228">
        <f t="shared" si="7"/>
        <v>16939.255274832365</v>
      </c>
    </row>
    <row r="43" spans="1:17" ht="11.4" customHeight="1">
      <c r="A43" s="239" t="s">
        <v>536</v>
      </c>
      <c r="B43" s="240">
        <f>B44+B46+B48+B49+B51</f>
        <v>2211.3836941267787</v>
      </c>
      <c r="C43" s="240">
        <f t="shared" ref="C43:Q43" si="8">C44+C46+C48+C49+C51</f>
        <v>2283.2056243145121</v>
      </c>
      <c r="D43" s="240">
        <f t="shared" si="8"/>
        <v>2375.9340607191648</v>
      </c>
      <c r="E43" s="240">
        <f t="shared" si="8"/>
        <v>2369.3254369511319</v>
      </c>
      <c r="F43" s="240">
        <f t="shared" si="8"/>
        <v>2410.1672158634278</v>
      </c>
      <c r="G43" s="240">
        <f t="shared" si="8"/>
        <v>2473.3740855706028</v>
      </c>
      <c r="H43" s="240">
        <f t="shared" si="8"/>
        <v>2546.4451931054746</v>
      </c>
      <c r="I43" s="240">
        <f t="shared" si="8"/>
        <v>2591.0697666384822</v>
      </c>
      <c r="J43" s="240">
        <f t="shared" si="8"/>
        <v>2535.6665328905124</v>
      </c>
      <c r="K43" s="240">
        <f t="shared" si="8"/>
        <v>2492.0629483452758</v>
      </c>
      <c r="L43" s="240">
        <f t="shared" si="8"/>
        <v>2441.2239446340877</v>
      </c>
      <c r="M43" s="240">
        <f t="shared" si="8"/>
        <v>2476.7234059226616</v>
      </c>
      <c r="N43" s="240">
        <f t="shared" si="8"/>
        <v>2421.933891691267</v>
      </c>
      <c r="O43" s="240">
        <f t="shared" si="8"/>
        <v>2464.3580902565209</v>
      </c>
      <c r="P43" s="240">
        <f t="shared" si="8"/>
        <v>2521.8336195084562</v>
      </c>
      <c r="Q43" s="240">
        <f t="shared" si="8"/>
        <v>2536.080335333907</v>
      </c>
    </row>
    <row r="44" spans="1:17" ht="11.4" customHeight="1">
      <c r="A44" s="235" t="s">
        <v>526</v>
      </c>
      <c r="B44" s="236">
        <v>309.28787803883404</v>
      </c>
      <c r="C44" s="236">
        <v>290.15541568907042</v>
      </c>
      <c r="D44" s="236">
        <v>276.44471226688637</v>
      </c>
      <c r="E44" s="236">
        <v>250.82314150449028</v>
      </c>
      <c r="F44" s="236">
        <v>230.24548016189377</v>
      </c>
      <c r="G44" s="236">
        <v>210.24812252792992</v>
      </c>
      <c r="H44" s="236">
        <v>188.37121475740526</v>
      </c>
      <c r="I44" s="236">
        <v>180.04411802832175</v>
      </c>
      <c r="J44" s="236">
        <v>158.32187298881894</v>
      </c>
      <c r="K44" s="236">
        <v>147.37636801350229</v>
      </c>
      <c r="L44" s="236">
        <v>136.64580964905781</v>
      </c>
      <c r="M44" s="236">
        <v>130.71835669710018</v>
      </c>
      <c r="N44" s="236">
        <v>119.53554203342455</v>
      </c>
      <c r="O44" s="236">
        <v>115.54604039130101</v>
      </c>
      <c r="P44" s="236">
        <v>113.81540588210855</v>
      </c>
      <c r="Q44" s="236">
        <v>110.58636144594526</v>
      </c>
    </row>
    <row r="45" spans="1:17" ht="11.4" customHeight="1">
      <c r="A45" s="237" t="s">
        <v>524</v>
      </c>
      <c r="B45" s="236">
        <v>0</v>
      </c>
      <c r="C45" s="236">
        <v>0</v>
      </c>
      <c r="D45" s="236">
        <v>0</v>
      </c>
      <c r="E45" s="236">
        <v>0</v>
      </c>
      <c r="F45" s="236">
        <v>0.37504629844676657</v>
      </c>
      <c r="G45" s="236">
        <v>1.3474185368133216</v>
      </c>
      <c r="H45" s="236">
        <v>2.705308974588017</v>
      </c>
      <c r="I45" s="236">
        <v>2.4578005521081407</v>
      </c>
      <c r="J45" s="236">
        <v>3.0088105903284421</v>
      </c>
      <c r="K45" s="236">
        <v>4.1647598492718476</v>
      </c>
      <c r="L45" s="236">
        <v>5.2193986807765631</v>
      </c>
      <c r="M45" s="236">
        <v>5.2232692099978424</v>
      </c>
      <c r="N45" s="236">
        <v>5.1410992652006255</v>
      </c>
      <c r="O45" s="236">
        <v>4.816415713026438</v>
      </c>
      <c r="P45" s="236">
        <v>4.8031603217760868</v>
      </c>
      <c r="Q45" s="236">
        <v>4.6575055579162434</v>
      </c>
    </row>
    <row r="46" spans="1:17" ht="11.4" customHeight="1">
      <c r="A46" s="235" t="s">
        <v>527</v>
      </c>
      <c r="B46" s="236">
        <v>1901.5858234394684</v>
      </c>
      <c r="C46" s="236">
        <v>1992.5461940625878</v>
      </c>
      <c r="D46" s="236">
        <v>2099.00291661145</v>
      </c>
      <c r="E46" s="236">
        <v>2118.0463613856377</v>
      </c>
      <c r="F46" s="236">
        <v>2179.4858420415721</v>
      </c>
      <c r="G46" s="236">
        <v>2262.7225433712711</v>
      </c>
      <c r="H46" s="236">
        <v>2341.1256504415505</v>
      </c>
      <c r="I46" s="236">
        <v>2386.5403949467313</v>
      </c>
      <c r="J46" s="236">
        <v>2344.1125026393124</v>
      </c>
      <c r="K46" s="236">
        <v>2303.2851216063241</v>
      </c>
      <c r="L46" s="236">
        <v>2258.3853102204744</v>
      </c>
      <c r="M46" s="236">
        <v>2297.9652396895031</v>
      </c>
      <c r="N46" s="236">
        <v>2253.3169386365548</v>
      </c>
      <c r="O46" s="236">
        <v>2301.0221511232739</v>
      </c>
      <c r="P46" s="236">
        <v>2359.398970841783</v>
      </c>
      <c r="Q46" s="236">
        <v>2378.034387001921</v>
      </c>
    </row>
    <row r="47" spans="1:17" ht="11.4" customHeight="1">
      <c r="A47" s="237" t="s">
        <v>524</v>
      </c>
      <c r="B47" s="236">
        <v>17.021614904718859</v>
      </c>
      <c r="C47" s="236">
        <v>25.070203856517022</v>
      </c>
      <c r="D47" s="236">
        <v>40.624469647176575</v>
      </c>
      <c r="E47" s="236">
        <v>57.85115073191831</v>
      </c>
      <c r="F47" s="236">
        <v>71.660028249418502</v>
      </c>
      <c r="G47" s="236">
        <v>140.4978367503025</v>
      </c>
      <c r="H47" s="236">
        <v>242.24827717879441</v>
      </c>
      <c r="I47" s="236">
        <v>283.81909223338596</v>
      </c>
      <c r="J47" s="236">
        <v>205.59980617032809</v>
      </c>
      <c r="K47" s="236">
        <v>164.03862296874746</v>
      </c>
      <c r="L47" s="236">
        <v>158.88491833895233</v>
      </c>
      <c r="M47" s="236">
        <v>148.98971320336133</v>
      </c>
      <c r="N47" s="236">
        <v>149.74499433956217</v>
      </c>
      <c r="O47" s="236">
        <v>131.42953467430144</v>
      </c>
      <c r="P47" s="236">
        <v>135.04146481968425</v>
      </c>
      <c r="Q47" s="236">
        <v>123.09644284176554</v>
      </c>
    </row>
    <row r="48" spans="1:17" ht="11.4" customHeight="1">
      <c r="A48" s="235" t="s">
        <v>528</v>
      </c>
      <c r="B48" s="236">
        <v>0</v>
      </c>
      <c r="C48" s="236">
        <v>0</v>
      </c>
      <c r="D48" s="236">
        <v>0</v>
      </c>
      <c r="E48" s="236">
        <v>0</v>
      </c>
      <c r="F48" s="236">
        <v>0</v>
      </c>
      <c r="G48" s="236">
        <v>0</v>
      </c>
      <c r="H48" s="236">
        <v>2.768616602653684</v>
      </c>
      <c r="I48" s="236">
        <v>4.1496029323836465</v>
      </c>
      <c r="J48" s="236">
        <v>7.9363328449045811</v>
      </c>
      <c r="K48" s="236">
        <v>10.081880833248778</v>
      </c>
      <c r="L48" s="236">
        <v>11.503601291644713</v>
      </c>
      <c r="M48" s="236">
        <v>12.966498772809782</v>
      </c>
      <c r="N48" s="236">
        <v>14.561241555975139</v>
      </c>
      <c r="O48" s="236">
        <v>13.769817911770325</v>
      </c>
      <c r="P48" s="236">
        <v>13.356466610421013</v>
      </c>
      <c r="Q48" s="236">
        <v>13.208978166471084</v>
      </c>
    </row>
    <row r="49" spans="1:17" ht="11.4" customHeight="1">
      <c r="A49" s="235" t="s">
        <v>529</v>
      </c>
      <c r="B49" s="236">
        <v>0</v>
      </c>
      <c r="C49" s="236">
        <v>0</v>
      </c>
      <c r="D49" s="236">
        <v>0</v>
      </c>
      <c r="E49" s="236">
        <v>0</v>
      </c>
      <c r="F49" s="236">
        <v>0</v>
      </c>
      <c r="G49" s="236">
        <v>0</v>
      </c>
      <c r="H49" s="236">
        <v>13.813489938138911</v>
      </c>
      <c r="I49" s="236">
        <v>20.016755671963352</v>
      </c>
      <c r="J49" s="236">
        <v>24.966442715251464</v>
      </c>
      <c r="K49" s="236">
        <v>30.961072820288205</v>
      </c>
      <c r="L49" s="236">
        <v>34.21492269330988</v>
      </c>
      <c r="M49" s="236">
        <v>34.421097125989903</v>
      </c>
      <c r="N49" s="236">
        <v>33.37116473177278</v>
      </c>
      <c r="O49" s="236">
        <v>32.699932816929206</v>
      </c>
      <c r="P49" s="236">
        <v>33.674674475181249</v>
      </c>
      <c r="Q49" s="236">
        <v>32.180374288134402</v>
      </c>
    </row>
    <row r="50" spans="1:17" ht="11.4" customHeight="1">
      <c r="A50" s="237" t="s">
        <v>530</v>
      </c>
      <c r="B50" s="236">
        <v>0</v>
      </c>
      <c r="C50" s="236">
        <v>0</v>
      </c>
      <c r="D50" s="236">
        <v>0</v>
      </c>
      <c r="E50" s="236">
        <v>0</v>
      </c>
      <c r="F50" s="236">
        <v>0</v>
      </c>
      <c r="G50" s="236">
        <v>0</v>
      </c>
      <c r="H50" s="236">
        <v>0</v>
      </c>
      <c r="I50" s="236">
        <v>0</v>
      </c>
      <c r="J50" s="236">
        <v>7.7218503442919015E-2</v>
      </c>
      <c r="K50" s="236">
        <v>0.27251030741150795</v>
      </c>
      <c r="L50" s="236">
        <v>3.1250708449805287</v>
      </c>
      <c r="M50" s="236">
        <v>3.0760438081845849</v>
      </c>
      <c r="N50" s="236">
        <v>5.7579255045222357</v>
      </c>
      <c r="O50" s="236">
        <v>6.7575954124675537</v>
      </c>
      <c r="P50" s="236">
        <v>7.3703234512488871</v>
      </c>
      <c r="Q50" s="236">
        <v>4.6603507130890245</v>
      </c>
    </row>
    <row r="51" spans="1:17" ht="11.4" customHeight="1">
      <c r="A51" s="235" t="s">
        <v>533</v>
      </c>
      <c r="B51" s="236">
        <v>0.50999264847610926</v>
      </c>
      <c r="C51" s="236">
        <v>0.50401456285401958</v>
      </c>
      <c r="D51" s="236">
        <v>0.48643184082864271</v>
      </c>
      <c r="E51" s="236">
        <v>0.45593406100382677</v>
      </c>
      <c r="F51" s="236">
        <v>0.43589365996204771</v>
      </c>
      <c r="G51" s="236">
        <v>0.40341967140186114</v>
      </c>
      <c r="H51" s="236">
        <v>0.36622136572637715</v>
      </c>
      <c r="I51" s="236">
        <v>0.31889505908201415</v>
      </c>
      <c r="J51" s="236">
        <v>0.32938170222513152</v>
      </c>
      <c r="K51" s="236">
        <v>0.35850507191237369</v>
      </c>
      <c r="L51" s="236">
        <v>0.4743007796008355</v>
      </c>
      <c r="M51" s="236">
        <v>0.65221363725852211</v>
      </c>
      <c r="N51" s="236">
        <v>1.1490047335395897</v>
      </c>
      <c r="O51" s="236">
        <v>1.3201480132463663</v>
      </c>
      <c r="P51" s="236">
        <v>1.5881016989617751</v>
      </c>
      <c r="Q51" s="236">
        <v>2.0702344314348839</v>
      </c>
    </row>
    <row r="52" spans="1:17" ht="11.4" customHeight="1">
      <c r="A52" s="233" t="s">
        <v>537</v>
      </c>
      <c r="B52" s="234">
        <f>B53+B55</f>
        <v>15715.300234792472</v>
      </c>
      <c r="C52" s="234">
        <f t="shared" ref="C52:Q52" si="9">C53+C55</f>
        <v>14609.89860523712</v>
      </c>
      <c r="D52" s="234">
        <f t="shared" si="9"/>
        <v>14111.988055794889</v>
      </c>
      <c r="E52" s="234">
        <f t="shared" si="9"/>
        <v>13489.192280860017</v>
      </c>
      <c r="F52" s="234">
        <f t="shared" si="9"/>
        <v>12949.31207034563</v>
      </c>
      <c r="G52" s="234">
        <f t="shared" si="9"/>
        <v>12460.932007887141</v>
      </c>
      <c r="H52" s="234">
        <f t="shared" si="9"/>
        <v>13284.44694400182</v>
      </c>
      <c r="I52" s="234">
        <f t="shared" si="9"/>
        <v>12981.439938441352</v>
      </c>
      <c r="J52" s="234">
        <f t="shared" si="9"/>
        <v>12754.714717536312</v>
      </c>
      <c r="K52" s="234">
        <f t="shared" si="9"/>
        <v>12276.33165593637</v>
      </c>
      <c r="L52" s="234">
        <f t="shared" si="9"/>
        <v>13372.571304707879</v>
      </c>
      <c r="M52" s="234">
        <f t="shared" si="9"/>
        <v>13306.34152183984</v>
      </c>
      <c r="N52" s="234">
        <f t="shared" si="9"/>
        <v>14051.665029662348</v>
      </c>
      <c r="O52" s="234">
        <f t="shared" si="9"/>
        <v>14345.143344189502</v>
      </c>
      <c r="P52" s="234">
        <f t="shared" si="9"/>
        <v>13741.561106820849</v>
      </c>
      <c r="Q52" s="234">
        <f t="shared" si="9"/>
        <v>14403.174939498456</v>
      </c>
    </row>
    <row r="53" spans="1:17" ht="11.4" customHeight="1">
      <c r="A53" s="223" t="s">
        <v>538</v>
      </c>
      <c r="B53" s="238">
        <v>11177.832929707962</v>
      </c>
      <c r="C53" s="238">
        <v>11005.02290659006</v>
      </c>
      <c r="D53" s="238">
        <v>10532.853351010755</v>
      </c>
      <c r="E53" s="238">
        <v>10302.889156353347</v>
      </c>
      <c r="F53" s="238">
        <v>10298.69243915118</v>
      </c>
      <c r="G53" s="238">
        <v>10192.986089330396</v>
      </c>
      <c r="H53" s="238">
        <v>10663.641610350638</v>
      </c>
      <c r="I53" s="238">
        <v>10927.672479225128</v>
      </c>
      <c r="J53" s="238">
        <v>11089.03229508298</v>
      </c>
      <c r="K53" s="238">
        <v>10447.520999367498</v>
      </c>
      <c r="L53" s="238">
        <v>10653.302002664546</v>
      </c>
      <c r="M53" s="238">
        <v>11043.277852396483</v>
      </c>
      <c r="N53" s="238">
        <v>10802.684246557386</v>
      </c>
      <c r="O53" s="238">
        <v>10841.029847608685</v>
      </c>
      <c r="P53" s="238">
        <v>10978.034930773738</v>
      </c>
      <c r="Q53" s="238">
        <v>11273.225091888746</v>
      </c>
    </row>
    <row r="54" spans="1:17" ht="11.4" customHeight="1">
      <c r="A54" s="237" t="s">
        <v>524</v>
      </c>
      <c r="B54" s="238">
        <v>100.05584036940041</v>
      </c>
      <c r="C54" s="238">
        <v>138.46512996083953</v>
      </c>
      <c r="D54" s="238">
        <v>203.85468637036018</v>
      </c>
      <c r="E54" s="238">
        <v>281.40743490077125</v>
      </c>
      <c r="F54" s="238">
        <v>338.61688994681083</v>
      </c>
      <c r="G54" s="238">
        <v>632.94489433781109</v>
      </c>
      <c r="H54" s="238">
        <v>1103.5910897787016</v>
      </c>
      <c r="I54" s="238">
        <v>1299.7119754179232</v>
      </c>
      <c r="J54" s="238">
        <v>972.8559349019697</v>
      </c>
      <c r="K54" s="238">
        <v>744.57062140363644</v>
      </c>
      <c r="L54" s="238">
        <v>751.44491946783307</v>
      </c>
      <c r="M54" s="238">
        <v>718.0309671714615</v>
      </c>
      <c r="N54" s="238">
        <v>723.4959791198271</v>
      </c>
      <c r="O54" s="238">
        <v>625.4537379999615</v>
      </c>
      <c r="P54" s="238">
        <v>635.25268864364023</v>
      </c>
      <c r="Q54" s="238">
        <v>587.09149078864493</v>
      </c>
    </row>
    <row r="55" spans="1:17" ht="11.4" customHeight="1">
      <c r="A55" s="223" t="s">
        <v>539</v>
      </c>
      <c r="B55" s="238">
        <v>4537.4673050845104</v>
      </c>
      <c r="C55" s="238">
        <v>3604.8756986470598</v>
      </c>
      <c r="D55" s="238">
        <v>3579.1347047841327</v>
      </c>
      <c r="E55" s="238">
        <v>3186.3031245066713</v>
      </c>
      <c r="F55" s="238">
        <v>2650.6196311944486</v>
      </c>
      <c r="G55" s="238">
        <v>2267.9459185567453</v>
      </c>
      <c r="H55" s="238">
        <v>2620.8053336511821</v>
      </c>
      <c r="I55" s="238">
        <v>2053.7674592162248</v>
      </c>
      <c r="J55" s="238">
        <v>1665.6824224533316</v>
      </c>
      <c r="K55" s="238">
        <v>1828.8106565688713</v>
      </c>
      <c r="L55" s="238">
        <v>2719.2693020433317</v>
      </c>
      <c r="M55" s="238">
        <v>2263.0636694433588</v>
      </c>
      <c r="N55" s="238">
        <v>3248.9807831049629</v>
      </c>
      <c r="O55" s="238">
        <v>3504.1134965808174</v>
      </c>
      <c r="P55" s="238">
        <v>2763.5261760471117</v>
      </c>
      <c r="Q55" s="238">
        <v>3129.9498476097101</v>
      </c>
    </row>
    <row r="56" spans="1:17" ht="11.4" customHeight="1">
      <c r="A56" s="241" t="s">
        <v>524</v>
      </c>
      <c r="B56" s="242">
        <v>40.616111120455855</v>
      </c>
      <c r="C56" s="242">
        <v>45.356523684011137</v>
      </c>
      <c r="D56" s="242">
        <v>69.271199209378992</v>
      </c>
      <c r="E56" s="242">
        <v>87.028927078266193</v>
      </c>
      <c r="F56" s="242">
        <v>87.151313746874322</v>
      </c>
      <c r="G56" s="242">
        <v>140.83064346446787</v>
      </c>
      <c r="H56" s="242">
        <v>271.22980309602121</v>
      </c>
      <c r="I56" s="242">
        <v>244.27032989336513</v>
      </c>
      <c r="J56" s="242">
        <v>146.13259184610277</v>
      </c>
      <c r="K56" s="242">
        <v>130.33509930954088</v>
      </c>
      <c r="L56" s="242">
        <v>191.80730079502328</v>
      </c>
      <c r="M56" s="242">
        <v>147.14379345154157</v>
      </c>
      <c r="N56" s="242">
        <v>217.59633801785213</v>
      </c>
      <c r="O56" s="242">
        <v>202.16353202791191</v>
      </c>
      <c r="P56" s="242">
        <v>159.91363158718551</v>
      </c>
      <c r="Q56" s="242">
        <v>163.00277047151613</v>
      </c>
    </row>
    <row r="58" spans="1:17" ht="11.4" customHeight="1">
      <c r="A58" s="243" t="s">
        <v>540</v>
      </c>
      <c r="B58" s="244"/>
      <c r="C58" s="244"/>
      <c r="D58" s="244"/>
      <c r="E58" s="244"/>
      <c r="F58" s="244"/>
      <c r="G58" s="244"/>
      <c r="H58" s="244"/>
      <c r="I58" s="244"/>
      <c r="J58" s="244"/>
      <c r="K58" s="244"/>
      <c r="L58" s="244"/>
      <c r="M58" s="245"/>
      <c r="N58" s="245"/>
      <c r="O58" s="245"/>
      <c r="P58" s="245"/>
      <c r="Q58" s="245"/>
    </row>
    <row r="60" spans="1:17" ht="11.4" customHeight="1">
      <c r="A60" s="217" t="s">
        <v>541</v>
      </c>
      <c r="B60" s="226">
        <v>9.5402848898445018</v>
      </c>
      <c r="C60" s="226">
        <v>9.2092293707033335</v>
      </c>
      <c r="D60" s="226">
        <v>9.0903125808431344</v>
      </c>
      <c r="E60" s="226">
        <v>9.0268735028453282</v>
      </c>
      <c r="F60" s="226">
        <v>8.8006854603783164</v>
      </c>
      <c r="G60" s="226">
        <v>8.7426032947920138</v>
      </c>
      <c r="H60" s="226">
        <v>8.8241277038417838</v>
      </c>
      <c r="I60" s="226">
        <v>8.7635401556266874</v>
      </c>
      <c r="J60" s="226">
        <v>8.7084999204070073</v>
      </c>
      <c r="K60" s="226">
        <v>8.6051793269018138</v>
      </c>
      <c r="L60" s="226">
        <v>8.7764550163531645</v>
      </c>
      <c r="M60" s="226">
        <v>8.6611106796577619</v>
      </c>
      <c r="N60" s="226">
        <v>8.7888309813435281</v>
      </c>
      <c r="O60" s="226">
        <v>8.7162648408300445</v>
      </c>
      <c r="P60" s="226">
        <v>8.4329719437443789</v>
      </c>
      <c r="Q60" s="226">
        <v>8.5224680552824257</v>
      </c>
    </row>
    <row r="61" spans="1:17" ht="11.4" customHeight="1">
      <c r="A61" s="227" t="s">
        <v>522</v>
      </c>
      <c r="B61" s="228">
        <v>7.2200170960117047</v>
      </c>
      <c r="C61" s="228">
        <v>7.1049533368257896</v>
      </c>
      <c r="D61" s="228">
        <v>7.0608885013966285</v>
      </c>
      <c r="E61" s="228">
        <v>7.0220660553605789</v>
      </c>
      <c r="F61" s="228">
        <v>6.9559129114419633</v>
      </c>
      <c r="G61" s="228">
        <v>6.9267015434257093</v>
      </c>
      <c r="H61" s="228">
        <v>6.8995618184585679</v>
      </c>
      <c r="I61" s="228">
        <v>6.8714185866700586</v>
      </c>
      <c r="J61" s="228">
        <v>6.8584326027746352</v>
      </c>
      <c r="K61" s="228">
        <v>6.8009934212875915</v>
      </c>
      <c r="L61" s="228">
        <v>6.7758259608679055</v>
      </c>
      <c r="M61" s="228">
        <v>6.7319684927757768</v>
      </c>
      <c r="N61" s="228">
        <v>6.6778239079855721</v>
      </c>
      <c r="O61" s="228">
        <v>6.6163230051732329</v>
      </c>
      <c r="P61" s="228">
        <v>6.5454096637054038</v>
      </c>
      <c r="Q61" s="228">
        <v>6.5013517362255175</v>
      </c>
    </row>
    <row r="62" spans="1:17" ht="11.4" customHeight="1">
      <c r="A62" s="239" t="s">
        <v>542</v>
      </c>
      <c r="B62" s="240">
        <v>4.7115323874378854</v>
      </c>
      <c r="C62" s="240">
        <v>4.6711899028584112</v>
      </c>
      <c r="D62" s="240">
        <v>4.647811271234108</v>
      </c>
      <c r="E62" s="240">
        <v>4.6050190552292998</v>
      </c>
      <c r="F62" s="240">
        <v>4.5596497131525195</v>
      </c>
      <c r="G62" s="240">
        <v>4.5074813225581298</v>
      </c>
      <c r="H62" s="240">
        <v>4.4587960045178985</v>
      </c>
      <c r="I62" s="240">
        <v>4.3467585896844216</v>
      </c>
      <c r="J62" s="240">
        <v>4.335121274257264</v>
      </c>
      <c r="K62" s="240">
        <v>4.3036785539162885</v>
      </c>
      <c r="L62" s="240">
        <v>4.2926736952912314</v>
      </c>
      <c r="M62" s="240">
        <v>4.2725206871120598</v>
      </c>
      <c r="N62" s="240">
        <v>4.2600107260821103</v>
      </c>
      <c r="O62" s="240">
        <v>4.2078875529931397</v>
      </c>
      <c r="P62" s="240">
        <v>4.1862410431065786</v>
      </c>
      <c r="Q62" s="240">
        <v>4.1222951681226032</v>
      </c>
    </row>
    <row r="63" spans="1:17" ht="11.4" customHeight="1">
      <c r="A63" s="233" t="s">
        <v>525</v>
      </c>
      <c r="B63" s="234">
        <v>6.9107477433939222</v>
      </c>
      <c r="C63" s="234">
        <v>6.8055417327962466</v>
      </c>
      <c r="D63" s="234">
        <v>6.7717137985519784</v>
      </c>
      <c r="E63" s="234">
        <v>6.7222555264906267</v>
      </c>
      <c r="F63" s="234">
        <v>6.6637888563520518</v>
      </c>
      <c r="G63" s="234">
        <v>6.6354512604435492</v>
      </c>
      <c r="H63" s="234">
        <v>6.6068477882596159</v>
      </c>
      <c r="I63" s="234">
        <v>6.5930710802580004</v>
      </c>
      <c r="J63" s="234">
        <v>6.5941187534348691</v>
      </c>
      <c r="K63" s="234">
        <v>6.5495638552451112</v>
      </c>
      <c r="L63" s="234">
        <v>6.5263427961478744</v>
      </c>
      <c r="M63" s="234">
        <v>6.4944076399433337</v>
      </c>
      <c r="N63" s="234">
        <v>6.4459365367755277</v>
      </c>
      <c r="O63" s="234">
        <v>6.390905501657028</v>
      </c>
      <c r="P63" s="234">
        <v>6.3256375948415684</v>
      </c>
      <c r="Q63" s="234">
        <v>6.2651463475081899</v>
      </c>
    </row>
    <row r="64" spans="1:17" ht="11.4" customHeight="1">
      <c r="A64" s="235" t="s">
        <v>526</v>
      </c>
      <c r="B64" s="236">
        <v>7.1641315785107507</v>
      </c>
      <c r="C64" s="236">
        <v>7.1375127326788839</v>
      </c>
      <c r="D64" s="236">
        <v>7.1442561780473772</v>
      </c>
      <c r="E64" s="236">
        <v>7.1455665517398321</v>
      </c>
      <c r="F64" s="236">
        <v>7.1495896531082446</v>
      </c>
      <c r="G64" s="236">
        <v>7.1436973632131142</v>
      </c>
      <c r="H64" s="236">
        <v>7.1341809970407661</v>
      </c>
      <c r="I64" s="236">
        <v>7.1262724221168856</v>
      </c>
      <c r="J64" s="236">
        <v>7.0975953120200188</v>
      </c>
      <c r="K64" s="236">
        <v>7.0279948955869882</v>
      </c>
      <c r="L64" s="236">
        <v>6.9896750375327139</v>
      </c>
      <c r="M64" s="236">
        <v>6.9436312625426382</v>
      </c>
      <c r="N64" s="236">
        <v>6.8788139831502741</v>
      </c>
      <c r="O64" s="236">
        <v>6.8185139217649997</v>
      </c>
      <c r="P64" s="236">
        <v>6.7538236324928542</v>
      </c>
      <c r="Q64" s="236">
        <v>6.6885002125769759</v>
      </c>
    </row>
    <row r="65" spans="1:17" ht="11.4" customHeight="1">
      <c r="A65" s="235" t="s">
        <v>527</v>
      </c>
      <c r="B65" s="236">
        <v>5.963044603114116</v>
      </c>
      <c r="C65" s="236">
        <v>5.7613794375471397</v>
      </c>
      <c r="D65" s="236">
        <v>5.7332240804956927</v>
      </c>
      <c r="E65" s="236">
        <v>5.7232898284171609</v>
      </c>
      <c r="F65" s="236">
        <v>5.7107926141859933</v>
      </c>
      <c r="G65" s="236">
        <v>5.7327829638280727</v>
      </c>
      <c r="H65" s="236">
        <v>5.7688268114845229</v>
      </c>
      <c r="I65" s="236">
        <v>5.8067676503899959</v>
      </c>
      <c r="J65" s="236">
        <v>5.8446910531664455</v>
      </c>
      <c r="K65" s="236">
        <v>5.8661768294951813</v>
      </c>
      <c r="L65" s="236">
        <v>5.8995457385066379</v>
      </c>
      <c r="M65" s="236">
        <v>5.9107522327659803</v>
      </c>
      <c r="N65" s="236">
        <v>5.8937221641537088</v>
      </c>
      <c r="O65" s="236">
        <v>5.8762301565240778</v>
      </c>
      <c r="P65" s="236">
        <v>5.8486370235464253</v>
      </c>
      <c r="Q65" s="236">
        <v>5.8122433797969002</v>
      </c>
    </row>
    <row r="66" spans="1:17" ht="11.4" customHeight="1">
      <c r="A66" s="235" t="s">
        <v>528</v>
      </c>
      <c r="B66" s="236">
        <v>7.2797318322638676</v>
      </c>
      <c r="C66" s="236">
        <v>7.2621050387942958</v>
      </c>
      <c r="D66" s="236">
        <v>7.0977492890155665</v>
      </c>
      <c r="E66" s="236">
        <v>7.146318357720352</v>
      </c>
      <c r="F66" s="236">
        <v>7.2628031676811853</v>
      </c>
      <c r="G66" s="236">
        <v>7.5484255930996298</v>
      </c>
      <c r="H66" s="236">
        <v>7.2030719174891509</v>
      </c>
      <c r="I66" s="236">
        <v>7.0706118193961194</v>
      </c>
      <c r="J66" s="236">
        <v>7.5847760251814664</v>
      </c>
      <c r="K66" s="236">
        <v>7.6231728286419971</v>
      </c>
      <c r="L66" s="236">
        <v>7.3559138437948768</v>
      </c>
      <c r="M66" s="236">
        <v>7.2809121115355371</v>
      </c>
      <c r="N66" s="236">
        <v>7.9625693267615176</v>
      </c>
      <c r="O66" s="236">
        <v>7.8893931701486162</v>
      </c>
      <c r="P66" s="236">
        <v>8.107173021965119</v>
      </c>
      <c r="Q66" s="236">
        <v>8.0454068813505781</v>
      </c>
    </row>
    <row r="67" spans="1:17" ht="11.4" customHeight="1">
      <c r="A67" s="235" t="s">
        <v>529</v>
      </c>
      <c r="B67" s="236" t="s">
        <v>658</v>
      </c>
      <c r="C67" s="236" t="s">
        <v>658</v>
      </c>
      <c r="D67" s="236" t="s">
        <v>658</v>
      </c>
      <c r="E67" s="236" t="s">
        <v>658</v>
      </c>
      <c r="F67" s="236" t="s">
        <v>658</v>
      </c>
      <c r="G67" s="236">
        <v>8.0332732822696862</v>
      </c>
      <c r="H67" s="236">
        <v>8.0457818379493986</v>
      </c>
      <c r="I67" s="236">
        <v>8.0650957202617164</v>
      </c>
      <c r="J67" s="236">
        <v>8.0838659098100454</v>
      </c>
      <c r="K67" s="236">
        <v>7.7570849563118607</v>
      </c>
      <c r="L67" s="236">
        <v>7.7756152926304205</v>
      </c>
      <c r="M67" s="236">
        <v>7.6982844931087691</v>
      </c>
      <c r="N67" s="236">
        <v>7.6905537176638132</v>
      </c>
      <c r="O67" s="236">
        <v>7.5830380252784853</v>
      </c>
      <c r="P67" s="236">
        <v>7.6000869754336593</v>
      </c>
      <c r="Q67" s="236">
        <v>7.6148581964140263</v>
      </c>
    </row>
    <row r="68" spans="1:17" ht="11.4" customHeight="1">
      <c r="A68" s="235" t="s">
        <v>543</v>
      </c>
      <c r="B68" s="236" t="s">
        <v>658</v>
      </c>
      <c r="C68" s="236" t="s">
        <v>658</v>
      </c>
      <c r="D68" s="236" t="s">
        <v>658</v>
      </c>
      <c r="E68" s="236" t="s">
        <v>658</v>
      </c>
      <c r="F68" s="236" t="s">
        <v>658</v>
      </c>
      <c r="G68" s="236" t="s">
        <v>658</v>
      </c>
      <c r="H68" s="236" t="s">
        <v>658</v>
      </c>
      <c r="I68" s="236" t="s">
        <v>658</v>
      </c>
      <c r="J68" s="236" t="s">
        <v>658</v>
      </c>
      <c r="K68" s="236" t="s">
        <v>658</v>
      </c>
      <c r="L68" s="236" t="s">
        <v>658</v>
      </c>
      <c r="M68" s="236" t="s">
        <v>658</v>
      </c>
      <c r="N68" s="236" t="s">
        <v>658</v>
      </c>
      <c r="O68" s="236">
        <v>3.6174552733087699</v>
      </c>
      <c r="P68" s="236">
        <v>3.2983258501388066</v>
      </c>
      <c r="Q68" s="236">
        <v>3.4295860113086221</v>
      </c>
    </row>
    <row r="69" spans="1:17" ht="11.4" customHeight="1">
      <c r="A69" s="235" t="s">
        <v>533</v>
      </c>
      <c r="B69" s="236" t="s">
        <v>658</v>
      </c>
      <c r="C69" s="236" t="s">
        <v>658</v>
      </c>
      <c r="D69" s="236" t="s">
        <v>658</v>
      </c>
      <c r="E69" s="236" t="s">
        <v>658</v>
      </c>
      <c r="F69" s="236" t="s">
        <v>658</v>
      </c>
      <c r="G69" s="236" t="s">
        <v>658</v>
      </c>
      <c r="H69" s="236">
        <v>2.9596066212613139</v>
      </c>
      <c r="I69" s="236">
        <v>2.9650792666413084</v>
      </c>
      <c r="J69" s="236">
        <v>2.9651415096637037</v>
      </c>
      <c r="K69" s="236">
        <v>2.9723334581544254</v>
      </c>
      <c r="L69" s="236">
        <v>2.9802174523296645</v>
      </c>
      <c r="M69" s="236">
        <v>2.9914276105991227</v>
      </c>
      <c r="N69" s="236">
        <v>3.0036935523760087</v>
      </c>
      <c r="O69" s="236">
        <v>3.018979181665205</v>
      </c>
      <c r="P69" s="236">
        <v>3.0357253423672974</v>
      </c>
      <c r="Q69" s="236">
        <v>3.0544443748596124</v>
      </c>
    </row>
    <row r="70" spans="1:17" ht="11.4" customHeight="1">
      <c r="A70" s="233" t="s">
        <v>534</v>
      </c>
      <c r="B70" s="234">
        <v>58.28396716576475</v>
      </c>
      <c r="C70" s="234">
        <v>57.414316229064575</v>
      </c>
      <c r="D70" s="234">
        <v>57.031183123475749</v>
      </c>
      <c r="E70" s="234">
        <v>56.706247009341539</v>
      </c>
      <c r="F70" s="234">
        <v>56.736504366210269</v>
      </c>
      <c r="G70" s="234">
        <v>56.002863359042088</v>
      </c>
      <c r="H70" s="234">
        <v>55.604721559040051</v>
      </c>
      <c r="I70" s="234">
        <v>54.792423731197637</v>
      </c>
      <c r="J70" s="234">
        <v>54.402368253022971</v>
      </c>
      <c r="K70" s="234">
        <v>53.999164271335999</v>
      </c>
      <c r="L70" s="234">
        <v>53.594973710297232</v>
      </c>
      <c r="M70" s="234">
        <v>53.190354047147657</v>
      </c>
      <c r="N70" s="234">
        <v>52.767648377362278</v>
      </c>
      <c r="O70" s="234">
        <v>52.354021227894485</v>
      </c>
      <c r="P70" s="234">
        <v>52.526296400914305</v>
      </c>
      <c r="Q70" s="234">
        <v>52.333732046057001</v>
      </c>
    </row>
    <row r="71" spans="1:17" ht="11.4" customHeight="1">
      <c r="A71" s="235" t="s">
        <v>526</v>
      </c>
      <c r="B71" s="238" t="s">
        <v>658</v>
      </c>
      <c r="C71" s="238" t="s">
        <v>658</v>
      </c>
      <c r="D71" s="238" t="s">
        <v>658</v>
      </c>
      <c r="E71" s="238" t="s">
        <v>658</v>
      </c>
      <c r="F71" s="238" t="s">
        <v>658</v>
      </c>
      <c r="G71" s="238" t="s">
        <v>658</v>
      </c>
      <c r="H71" s="238" t="s">
        <v>658</v>
      </c>
      <c r="I71" s="238" t="s">
        <v>658</v>
      </c>
      <c r="J71" s="238" t="s">
        <v>658</v>
      </c>
      <c r="K71" s="238" t="s">
        <v>658</v>
      </c>
      <c r="L71" s="238" t="s">
        <v>658</v>
      </c>
      <c r="M71" s="238" t="s">
        <v>658</v>
      </c>
      <c r="N71" s="238" t="s">
        <v>658</v>
      </c>
      <c r="O71" s="238" t="s">
        <v>658</v>
      </c>
      <c r="P71" s="238" t="s">
        <v>658</v>
      </c>
      <c r="Q71" s="238" t="s">
        <v>658</v>
      </c>
    </row>
    <row r="72" spans="1:17" ht="11.4" customHeight="1">
      <c r="A72" s="235" t="s">
        <v>527</v>
      </c>
      <c r="B72" s="238">
        <v>58.410195437155743</v>
      </c>
      <c r="C72" s="238">
        <v>57.588521390613366</v>
      </c>
      <c r="D72" s="238">
        <v>57.267436934036454</v>
      </c>
      <c r="E72" s="238">
        <v>56.954245113487332</v>
      </c>
      <c r="F72" s="238">
        <v>56.615508007352979</v>
      </c>
      <c r="G72" s="238">
        <v>56.233484897836583</v>
      </c>
      <c r="H72" s="238">
        <v>55.856443997264748</v>
      </c>
      <c r="I72" s="238">
        <v>55.062986550980241</v>
      </c>
      <c r="J72" s="238">
        <v>54.620848670784547</v>
      </c>
      <c r="K72" s="238">
        <v>54.250742627099491</v>
      </c>
      <c r="L72" s="238">
        <v>53.849668510212737</v>
      </c>
      <c r="M72" s="238">
        <v>53.426406115622548</v>
      </c>
      <c r="N72" s="238">
        <v>53.02419440780313</v>
      </c>
      <c r="O72" s="238">
        <v>52.629056510293239</v>
      </c>
      <c r="P72" s="238">
        <v>52.625709822333732</v>
      </c>
      <c r="Q72" s="238">
        <v>52.524217398871222</v>
      </c>
    </row>
    <row r="73" spans="1:17" ht="11.4" customHeight="1">
      <c r="A73" s="235" t="s">
        <v>528</v>
      </c>
      <c r="B73" s="238" t="s">
        <v>658</v>
      </c>
      <c r="C73" s="238" t="s">
        <v>658</v>
      </c>
      <c r="D73" s="238" t="s">
        <v>658</v>
      </c>
      <c r="E73" s="238" t="s">
        <v>658</v>
      </c>
      <c r="F73" s="238">
        <v>43.096107288058583</v>
      </c>
      <c r="G73" s="238">
        <v>43.203847556278738</v>
      </c>
      <c r="H73" s="238">
        <v>43.311857175169422</v>
      </c>
      <c r="I73" s="238">
        <v>43.366131896432549</v>
      </c>
      <c r="J73" s="238">
        <v>43.363241362022151</v>
      </c>
      <c r="K73" s="238">
        <v>43.373681940896262</v>
      </c>
      <c r="L73" s="238">
        <v>43.420341269762403</v>
      </c>
      <c r="M73" s="238">
        <v>43.515263913189436</v>
      </c>
      <c r="N73" s="238">
        <v>43.624052072972404</v>
      </c>
      <c r="O73" s="238">
        <v>43.718224772750034</v>
      </c>
      <c r="P73" s="238">
        <v>43.811238899430116</v>
      </c>
      <c r="Q73" s="238">
        <v>43.902890368425432</v>
      </c>
    </row>
    <row r="74" spans="1:17" ht="11.4" customHeight="1">
      <c r="A74" s="235" t="s">
        <v>529</v>
      </c>
      <c r="B74" s="238">
        <v>48.664830004269739</v>
      </c>
      <c r="C74" s="238">
        <v>47.465678970502637</v>
      </c>
      <c r="D74" s="238">
        <v>46.822051790973482</v>
      </c>
      <c r="E74" s="238">
        <v>47.781277054712689</v>
      </c>
      <c r="F74" s="238">
        <v>63.032660299882401</v>
      </c>
      <c r="G74" s="238">
        <v>46.064230028155926</v>
      </c>
      <c r="H74" s="238">
        <v>47.138191490384109</v>
      </c>
      <c r="I74" s="238">
        <v>45.640225877546932</v>
      </c>
      <c r="J74" s="238">
        <v>44.30455538320706</v>
      </c>
      <c r="K74" s="238">
        <v>44.28959576343626</v>
      </c>
      <c r="L74" s="238">
        <v>44.368181829082772</v>
      </c>
      <c r="M74" s="238">
        <v>44.124182316407392</v>
      </c>
      <c r="N74" s="238">
        <v>43.797023753376571</v>
      </c>
      <c r="O74" s="238">
        <v>43.693272224047519</v>
      </c>
      <c r="P74" s="238">
        <v>49.754625421128715</v>
      </c>
      <c r="Q74" s="238">
        <v>43.81982449519225</v>
      </c>
    </row>
    <row r="75" spans="1:17" ht="11.4" customHeight="1">
      <c r="A75" s="235" t="s">
        <v>533</v>
      </c>
      <c r="B75" s="238">
        <v>35.063777520459595</v>
      </c>
      <c r="C75" s="238">
        <v>34.871842847505143</v>
      </c>
      <c r="D75" s="238">
        <v>34.673663576510897</v>
      </c>
      <c r="E75" s="238">
        <v>34.498640013745593</v>
      </c>
      <c r="F75" s="238">
        <v>34.432308625960047</v>
      </c>
      <c r="G75" s="238">
        <v>34.436986270713739</v>
      </c>
      <c r="H75" s="238">
        <v>34.426782907529194</v>
      </c>
      <c r="I75" s="238">
        <v>34.411183333790788</v>
      </c>
      <c r="J75" s="238">
        <v>34.416172885490646</v>
      </c>
      <c r="K75" s="238">
        <v>33.82337789241133</v>
      </c>
      <c r="L75" s="238">
        <v>33.624063458270548</v>
      </c>
      <c r="M75" s="238">
        <v>33.213034391577949</v>
      </c>
      <c r="N75" s="238">
        <v>33.120762335274257</v>
      </c>
      <c r="O75" s="238">
        <v>33.097272660281568</v>
      </c>
      <c r="P75" s="238">
        <v>32.57240116686134</v>
      </c>
      <c r="Q75" s="238">
        <v>32.45602013519089</v>
      </c>
    </row>
    <row r="76" spans="1:17" ht="11.4" customHeight="1">
      <c r="A76" s="227" t="s">
        <v>535</v>
      </c>
      <c r="B76" s="228">
        <v>32.180821070014225</v>
      </c>
      <c r="C76" s="228">
        <v>29.273157147933681</v>
      </c>
      <c r="D76" s="228">
        <v>28.284955786137434</v>
      </c>
      <c r="E76" s="228">
        <v>27.258667097832134</v>
      </c>
      <c r="F76" s="228">
        <v>25.347390007280495</v>
      </c>
      <c r="G76" s="228">
        <v>24.261045289072815</v>
      </c>
      <c r="H76" s="228">
        <v>24.667507816633886</v>
      </c>
      <c r="I76" s="228">
        <v>23.481119156909337</v>
      </c>
      <c r="J76" s="228">
        <v>22.898471725847148</v>
      </c>
      <c r="K76" s="228">
        <v>23.135562595546251</v>
      </c>
      <c r="L76" s="228">
        <v>24.668689478814159</v>
      </c>
      <c r="M76" s="228">
        <v>23.894334267245629</v>
      </c>
      <c r="N76" s="228">
        <v>25.398457328924096</v>
      </c>
      <c r="O76" s="228">
        <v>25.456626727763897</v>
      </c>
      <c r="P76" s="228">
        <v>23.985019241756415</v>
      </c>
      <c r="Q76" s="228">
        <v>24.631726867900721</v>
      </c>
    </row>
    <row r="77" spans="1:17" ht="11.4" customHeight="1">
      <c r="A77" s="239" t="s">
        <v>536</v>
      </c>
      <c r="B77" s="240">
        <v>9.196672873025733</v>
      </c>
      <c r="C77" s="240">
        <v>8.9162195331200582</v>
      </c>
      <c r="D77" s="240">
        <v>8.8377665064479576</v>
      </c>
      <c r="E77" s="240">
        <v>8.7751686741188397</v>
      </c>
      <c r="F77" s="240">
        <v>8.7031525723716481</v>
      </c>
      <c r="G77" s="240">
        <v>8.7129026733718948</v>
      </c>
      <c r="H77" s="240">
        <v>8.692023895865205</v>
      </c>
      <c r="I77" s="240">
        <v>8.6580509634436691</v>
      </c>
      <c r="J77" s="240">
        <v>8.6107222702135218</v>
      </c>
      <c r="K77" s="240">
        <v>8.5652484929130583</v>
      </c>
      <c r="L77" s="240">
        <v>8.5730417549236932</v>
      </c>
      <c r="M77" s="240">
        <v>8.4780274961091884</v>
      </c>
      <c r="N77" s="240">
        <v>8.4339930863309984</v>
      </c>
      <c r="O77" s="240">
        <v>8.4037031988280955</v>
      </c>
      <c r="P77" s="240">
        <v>8.3640377924087357</v>
      </c>
      <c r="Q77" s="240">
        <v>8.3127927059285351</v>
      </c>
    </row>
    <row r="78" spans="1:17" ht="11.4" customHeight="1">
      <c r="A78" s="235" t="s">
        <v>526</v>
      </c>
      <c r="B78" s="236">
        <v>9.4066083971287604</v>
      </c>
      <c r="C78" s="236">
        <v>9.2993405405330467</v>
      </c>
      <c r="D78" s="236">
        <v>9.2699904227327412</v>
      </c>
      <c r="E78" s="236">
        <v>9.2324798675434518</v>
      </c>
      <c r="F78" s="236">
        <v>9.1960513319879347</v>
      </c>
      <c r="G78" s="236">
        <v>9.1496863410626155</v>
      </c>
      <c r="H78" s="236">
        <v>9.0971859356065536</v>
      </c>
      <c r="I78" s="236">
        <v>9.0638241820433638</v>
      </c>
      <c r="J78" s="236">
        <v>9.018518671243557</v>
      </c>
      <c r="K78" s="236">
        <v>8.9343817613711067</v>
      </c>
      <c r="L78" s="236">
        <v>8.8044900685517149</v>
      </c>
      <c r="M78" s="236">
        <v>8.6207835855266932</v>
      </c>
      <c r="N78" s="236">
        <v>8.4458591414375004</v>
      </c>
      <c r="O78" s="236">
        <v>8.3103206424255109</v>
      </c>
      <c r="P78" s="236">
        <v>8.1634536000011675</v>
      </c>
      <c r="Q78" s="236">
        <v>8.0833270890994164</v>
      </c>
    </row>
    <row r="79" spans="1:17" ht="11.4" customHeight="1">
      <c r="A79" s="235" t="s">
        <v>527</v>
      </c>
      <c r="B79" s="236">
        <v>9.1656972023033294</v>
      </c>
      <c r="C79" s="236">
        <v>8.8650063095890186</v>
      </c>
      <c r="D79" s="236">
        <v>8.7855636137603721</v>
      </c>
      <c r="E79" s="236">
        <v>8.7255662084726939</v>
      </c>
      <c r="F79" s="236">
        <v>8.6555652722866494</v>
      </c>
      <c r="G79" s="236">
        <v>8.6756887460365579</v>
      </c>
      <c r="H79" s="236">
        <v>8.6567273783618646</v>
      </c>
      <c r="I79" s="236">
        <v>8.6217196295680409</v>
      </c>
      <c r="J79" s="236">
        <v>8.5733866981533566</v>
      </c>
      <c r="K79" s="236">
        <v>8.5293209045400342</v>
      </c>
      <c r="L79" s="236">
        <v>8.5456562056866794</v>
      </c>
      <c r="M79" s="236">
        <v>8.4544559207322543</v>
      </c>
      <c r="N79" s="236">
        <v>8.417266036576434</v>
      </c>
      <c r="O79" s="236">
        <v>8.3936592656661357</v>
      </c>
      <c r="P79" s="236">
        <v>8.3598416192444187</v>
      </c>
      <c r="Q79" s="236">
        <v>8.310850848690718</v>
      </c>
    </row>
    <row r="80" spans="1:17" ht="11.4" customHeight="1">
      <c r="A80" s="235" t="s">
        <v>528</v>
      </c>
      <c r="B80" s="236" t="s">
        <v>658</v>
      </c>
      <c r="C80" s="236" t="s">
        <v>658</v>
      </c>
      <c r="D80" s="236" t="s">
        <v>658</v>
      </c>
      <c r="E80" s="236" t="s">
        <v>658</v>
      </c>
      <c r="F80" s="236" t="s">
        <v>658</v>
      </c>
      <c r="G80" s="236" t="s">
        <v>658</v>
      </c>
      <c r="H80" s="236">
        <v>10.259454149504437</v>
      </c>
      <c r="I80" s="236">
        <v>10.330197509122298</v>
      </c>
      <c r="J80" s="236">
        <v>10.376075740742257</v>
      </c>
      <c r="K80" s="236">
        <v>10.361625597288656</v>
      </c>
      <c r="L80" s="236">
        <v>10.363372934081713</v>
      </c>
      <c r="M80" s="236">
        <v>10.411949271179571</v>
      </c>
      <c r="N80" s="236">
        <v>10.461994036791861</v>
      </c>
      <c r="O80" s="236">
        <v>10.479190510924179</v>
      </c>
      <c r="P80" s="236">
        <v>10.441222046113106</v>
      </c>
      <c r="Q80" s="236">
        <v>10.502159184394142</v>
      </c>
    </row>
    <row r="81" spans="1:17" ht="11.4" customHeight="1">
      <c r="A81" s="235" t="s">
        <v>529</v>
      </c>
      <c r="B81" s="236" t="s">
        <v>658</v>
      </c>
      <c r="C81" s="236" t="s">
        <v>658</v>
      </c>
      <c r="D81" s="236" t="s">
        <v>658</v>
      </c>
      <c r="E81" s="236" t="s">
        <v>658</v>
      </c>
      <c r="F81" s="236" t="s">
        <v>658</v>
      </c>
      <c r="G81" s="236" t="s">
        <v>658</v>
      </c>
      <c r="H81" s="236">
        <v>9.394001602199193</v>
      </c>
      <c r="I81" s="236">
        <v>9.401752479001706</v>
      </c>
      <c r="J81" s="236">
        <v>9.3461108495744174</v>
      </c>
      <c r="K81" s="236">
        <v>9.2056224919957792</v>
      </c>
      <c r="L81" s="236">
        <v>9.1198387256804274</v>
      </c>
      <c r="M81" s="236">
        <v>9.1064245006162334</v>
      </c>
      <c r="N81" s="236">
        <v>9.1069441290865161</v>
      </c>
      <c r="O81" s="236">
        <v>9.083786740361905</v>
      </c>
      <c r="P81" s="236">
        <v>9.0803219538355862</v>
      </c>
      <c r="Q81" s="236">
        <v>9.0550253377204299</v>
      </c>
    </row>
    <row r="82" spans="1:17" ht="11.4" customHeight="1">
      <c r="A82" s="235" t="s">
        <v>533</v>
      </c>
      <c r="B82" s="236">
        <v>4.7559092711950015</v>
      </c>
      <c r="C82" s="236">
        <v>4.7449554130431704</v>
      </c>
      <c r="D82" s="236">
        <v>4.7558723581644324</v>
      </c>
      <c r="E82" s="236">
        <v>4.7663389902893076</v>
      </c>
      <c r="F82" s="236">
        <v>4.7763956479235112</v>
      </c>
      <c r="G82" s="236">
        <v>4.7866978831283653</v>
      </c>
      <c r="H82" s="236">
        <v>4.7842669280350938</v>
      </c>
      <c r="I82" s="236">
        <v>4.7806338332648552</v>
      </c>
      <c r="J82" s="236">
        <v>4.7679003831362987</v>
      </c>
      <c r="K82" s="236">
        <v>4.7449626616699687</v>
      </c>
      <c r="L82" s="236">
        <v>4.6853445355753465</v>
      </c>
      <c r="M82" s="236">
        <v>4.6324774970484883</v>
      </c>
      <c r="N82" s="236">
        <v>4.5546653999950264</v>
      </c>
      <c r="O82" s="236">
        <v>4.5398261290231563</v>
      </c>
      <c r="P82" s="236">
        <v>4.5477600017812367</v>
      </c>
      <c r="Q82" s="236">
        <v>4.5687423475747213</v>
      </c>
    </row>
    <row r="83" spans="1:17" ht="11.4" customHeight="1">
      <c r="A83" s="233" t="s">
        <v>544</v>
      </c>
      <c r="B83" s="234">
        <v>49.636717008636126</v>
      </c>
      <c r="C83" s="234">
        <v>45.512020818001972</v>
      </c>
      <c r="D83" s="234">
        <v>44.930728564538484</v>
      </c>
      <c r="E83" s="234">
        <v>43.265721665318843</v>
      </c>
      <c r="F83" s="234">
        <v>39.356184823941661</v>
      </c>
      <c r="G83" s="234">
        <v>37.567730937962921</v>
      </c>
      <c r="H83" s="234">
        <v>38.085313607308066</v>
      </c>
      <c r="I83" s="234">
        <v>35.670574954806135</v>
      </c>
      <c r="J83" s="234">
        <v>34.170302387333201</v>
      </c>
      <c r="K83" s="234">
        <v>35.338631772759157</v>
      </c>
      <c r="L83" s="234">
        <v>37.532683731970231</v>
      </c>
      <c r="M83" s="234">
        <v>36.119131506085253</v>
      </c>
      <c r="N83" s="234">
        <v>38.876582482193434</v>
      </c>
      <c r="O83" s="234">
        <v>39.079853599686729</v>
      </c>
      <c r="P83" s="234">
        <v>36.492783073054746</v>
      </c>
      <c r="Q83" s="234">
        <v>37.643643052812898</v>
      </c>
    </row>
    <row r="84" spans="1:17" ht="11.4" customHeight="1">
      <c r="A84" s="223" t="s">
        <v>538</v>
      </c>
      <c r="B84" s="238">
        <v>45.421727537518635</v>
      </c>
      <c r="C84" s="238">
        <v>44.732228707381758</v>
      </c>
      <c r="D84" s="238">
        <v>44.729290602219955</v>
      </c>
      <c r="E84" s="238">
        <v>44.476102552788028</v>
      </c>
      <c r="F84" s="238">
        <v>43.705196227937449</v>
      </c>
      <c r="G84" s="238">
        <v>43.30990477726958</v>
      </c>
      <c r="H84" s="238">
        <v>43.31996104302339</v>
      </c>
      <c r="I84" s="238">
        <v>42.808291139676143</v>
      </c>
      <c r="J84" s="238">
        <v>42.563360438655742</v>
      </c>
      <c r="K84" s="238">
        <v>42.677781860161346</v>
      </c>
      <c r="L84" s="238">
        <v>42.977658555206332</v>
      </c>
      <c r="M84" s="238">
        <v>42.547785984960441</v>
      </c>
      <c r="N84" s="238">
        <v>42.975232710973408</v>
      </c>
      <c r="O84" s="238">
        <v>42.892304045929514</v>
      </c>
      <c r="P84" s="238">
        <v>42.278498539527604</v>
      </c>
      <c r="Q84" s="238">
        <v>42.44437158090642</v>
      </c>
    </row>
    <row r="85" spans="1:17" ht="11.4" customHeight="1">
      <c r="A85" s="246" t="s">
        <v>539</v>
      </c>
      <c r="B85" s="242">
        <v>64.346307472860346</v>
      </c>
      <c r="C85" s="242">
        <v>48.070224423276294</v>
      </c>
      <c r="D85" s="242">
        <v>45.534197599708513</v>
      </c>
      <c r="E85" s="242">
        <v>39.766402344053283</v>
      </c>
      <c r="F85" s="242">
        <v>28.382676496166496</v>
      </c>
      <c r="G85" s="242">
        <v>23.540468008815317</v>
      </c>
      <c r="H85" s="242">
        <v>25.532065633463478</v>
      </c>
      <c r="I85" s="242">
        <v>18.901603327360203</v>
      </c>
      <c r="J85" s="242">
        <v>14.774677550966464</v>
      </c>
      <c r="K85" s="242">
        <v>17.826184593389947</v>
      </c>
      <c r="L85" s="242">
        <v>25.082879252746419</v>
      </c>
      <c r="M85" s="242">
        <v>20.790380238184021</v>
      </c>
      <c r="N85" s="242">
        <v>29.516625289111282</v>
      </c>
      <c r="O85" s="242">
        <v>30.651101304954349</v>
      </c>
      <c r="P85" s="242">
        <v>23.640980856288397</v>
      </c>
      <c r="Q85" s="242">
        <v>26.747353105211879</v>
      </c>
    </row>
    <row r="87" spans="1:17" ht="11.4" customHeight="1">
      <c r="A87" s="217" t="s">
        <v>545</v>
      </c>
      <c r="B87" s="247"/>
      <c r="C87" s="247"/>
      <c r="D87" s="247"/>
      <c r="E87" s="247"/>
      <c r="F87" s="247"/>
      <c r="G87" s="247"/>
      <c r="H87" s="247"/>
      <c r="I87" s="247"/>
      <c r="J87" s="247"/>
      <c r="K87" s="247"/>
      <c r="L87" s="247"/>
      <c r="M87" s="247"/>
      <c r="N87" s="247"/>
      <c r="O87" s="247"/>
      <c r="P87" s="247"/>
      <c r="Q87" s="247"/>
    </row>
    <row r="88" spans="1:17" ht="11.4" customHeight="1">
      <c r="A88" s="227" t="s">
        <v>546</v>
      </c>
      <c r="B88" s="248">
        <v>43.032944719917438</v>
      </c>
      <c r="C88" s="248">
        <v>41.891249709676835</v>
      </c>
      <c r="D88" s="248">
        <v>41.287913125492892</v>
      </c>
      <c r="E88" s="248">
        <v>39.62653565438896</v>
      </c>
      <c r="F88" s="248">
        <v>39.824545591214317</v>
      </c>
      <c r="G88" s="248">
        <v>38.884586578900951</v>
      </c>
      <c r="H88" s="248">
        <v>38.654858221949212</v>
      </c>
      <c r="I88" s="248">
        <v>37.567548168178</v>
      </c>
      <c r="J88" s="248">
        <v>37.093449598002131</v>
      </c>
      <c r="K88" s="248">
        <v>36.595968067437205</v>
      </c>
      <c r="L88" s="248">
        <v>35.907540304587727</v>
      </c>
      <c r="M88" s="248">
        <v>36.248239022574829</v>
      </c>
      <c r="N88" s="248">
        <v>35.185256871798515</v>
      </c>
      <c r="O88" s="248">
        <v>35.648144434272552</v>
      </c>
      <c r="P88" s="248">
        <v>36.843211514324402</v>
      </c>
      <c r="Q88" s="248">
        <v>35.386802733914827</v>
      </c>
    </row>
    <row r="89" spans="1:17" ht="11.4" customHeight="1">
      <c r="A89" s="239" t="s">
        <v>542</v>
      </c>
      <c r="B89" s="249">
        <v>39.094586054349023</v>
      </c>
      <c r="C89" s="249">
        <v>38.760582193382078</v>
      </c>
      <c r="D89" s="249">
        <v>38.573293687671431</v>
      </c>
      <c r="E89" s="249">
        <v>38.046262557517039</v>
      </c>
      <c r="F89" s="249">
        <v>37.525424821110342</v>
      </c>
      <c r="G89" s="249">
        <v>36.850583390411138</v>
      </c>
      <c r="H89" s="249">
        <v>36.456443284024793</v>
      </c>
      <c r="I89" s="249">
        <v>35.707960950904848</v>
      </c>
      <c r="J89" s="249">
        <v>35.304384796647717</v>
      </c>
      <c r="K89" s="249">
        <v>35.479902817241125</v>
      </c>
      <c r="L89" s="249">
        <v>35.449594071407439</v>
      </c>
      <c r="M89" s="249">
        <v>34.769554153479689</v>
      </c>
      <c r="N89" s="249">
        <v>34.593908689178278</v>
      </c>
      <c r="O89" s="249">
        <v>34.48252649192596</v>
      </c>
      <c r="P89" s="249">
        <v>34.562710141311712</v>
      </c>
      <c r="Q89" s="249">
        <v>34.280905413782534</v>
      </c>
    </row>
    <row r="90" spans="1:17" ht="11.4" customHeight="1">
      <c r="A90" s="233" t="s">
        <v>525</v>
      </c>
      <c r="B90" s="250">
        <v>44.074206048225939</v>
      </c>
      <c r="C90" s="250">
        <v>42.837691074385575</v>
      </c>
      <c r="D90" s="250">
        <v>42.172795544557026</v>
      </c>
      <c r="E90" s="250">
        <v>40.384783412211831</v>
      </c>
      <c r="F90" s="250">
        <v>40.605494414427504</v>
      </c>
      <c r="G90" s="250">
        <v>39.627774361807901</v>
      </c>
      <c r="H90" s="250">
        <v>39.308298126488573</v>
      </c>
      <c r="I90" s="250">
        <v>38.262215063079303</v>
      </c>
      <c r="J90" s="250">
        <v>37.76809348711371</v>
      </c>
      <c r="K90" s="250">
        <v>37.229084805095859</v>
      </c>
      <c r="L90" s="250">
        <v>36.495737713387456</v>
      </c>
      <c r="M90" s="250">
        <v>36.883356098509324</v>
      </c>
      <c r="N90" s="250">
        <v>35.731434715661912</v>
      </c>
      <c r="O90" s="250">
        <v>36.254778276530828</v>
      </c>
      <c r="P90" s="250">
        <v>37.550371533033484</v>
      </c>
      <c r="Q90" s="250">
        <v>36.002861725898249</v>
      </c>
    </row>
    <row r="91" spans="1:17" ht="11.4" customHeight="1">
      <c r="A91" s="235" t="s">
        <v>526</v>
      </c>
      <c r="B91" s="251">
        <v>46.314169232136919</v>
      </c>
      <c r="C91" s="251">
        <v>45.629156048113032</v>
      </c>
      <c r="D91" s="251">
        <v>45.252951016269208</v>
      </c>
      <c r="E91" s="251">
        <v>43.755023121814986</v>
      </c>
      <c r="F91" s="251">
        <v>44.518783645732341</v>
      </c>
      <c r="G91" s="251">
        <v>43.662295818285287</v>
      </c>
      <c r="H91" s="251">
        <v>43.50977444655755</v>
      </c>
      <c r="I91" s="251">
        <v>42.439511539080286</v>
      </c>
      <c r="J91" s="251">
        <v>41.722046731312112</v>
      </c>
      <c r="K91" s="251">
        <v>41.036800768429778</v>
      </c>
      <c r="L91" s="251">
        <v>40.17865652861763</v>
      </c>
      <c r="M91" s="251">
        <v>40.562113227527277</v>
      </c>
      <c r="N91" s="251">
        <v>39.262535194868612</v>
      </c>
      <c r="O91" s="251">
        <v>39.862291707837308</v>
      </c>
      <c r="P91" s="251">
        <v>41.377224031040804</v>
      </c>
      <c r="Q91" s="251">
        <v>39.68603353412643</v>
      </c>
    </row>
    <row r="92" spans="1:17" ht="11.4" customHeight="1">
      <c r="A92" s="235" t="s">
        <v>527</v>
      </c>
      <c r="B92" s="251">
        <v>36.202652185257961</v>
      </c>
      <c r="C92" s="251">
        <v>34.589479264970258</v>
      </c>
      <c r="D92" s="251">
        <v>34.104431002251239</v>
      </c>
      <c r="E92" s="251">
        <v>32.912357656691356</v>
      </c>
      <c r="F92" s="251">
        <v>33.394932353983194</v>
      </c>
      <c r="G92" s="251">
        <v>32.905691792140914</v>
      </c>
      <c r="H92" s="251">
        <v>33.040926356583199</v>
      </c>
      <c r="I92" s="251">
        <v>32.476140405634411</v>
      </c>
      <c r="J92" s="251">
        <v>32.265465628755393</v>
      </c>
      <c r="K92" s="251">
        <v>32.167641052977736</v>
      </c>
      <c r="L92" s="251">
        <v>31.847768212163743</v>
      </c>
      <c r="M92" s="251">
        <v>32.426396107772234</v>
      </c>
      <c r="N92" s="251">
        <v>31.591950309037344</v>
      </c>
      <c r="O92" s="251">
        <v>32.262152105113081</v>
      </c>
      <c r="P92" s="251">
        <v>33.650251149835142</v>
      </c>
      <c r="Q92" s="251">
        <v>32.38730019382718</v>
      </c>
    </row>
    <row r="93" spans="1:17" ht="11.4" customHeight="1">
      <c r="A93" s="235" t="s">
        <v>528</v>
      </c>
      <c r="B93" s="251">
        <v>47.863351325794859</v>
      </c>
      <c r="C93" s="251">
        <v>47.125301856534634</v>
      </c>
      <c r="D93" s="251">
        <v>45.570386953189512</v>
      </c>
      <c r="E93" s="251">
        <v>44.260199423253965</v>
      </c>
      <c r="F93" s="251">
        <v>45.624289572364837</v>
      </c>
      <c r="G93" s="251">
        <v>46.474407552938587</v>
      </c>
      <c r="H93" s="251">
        <v>44.181042207082427</v>
      </c>
      <c r="I93" s="251">
        <v>42.302653608600522</v>
      </c>
      <c r="J93" s="251">
        <v>44.78569569592031</v>
      </c>
      <c r="K93" s="251">
        <v>44.671857498365355</v>
      </c>
      <c r="L93" s="251">
        <v>42.406962388410548</v>
      </c>
      <c r="M93" s="251">
        <v>42.628979990249</v>
      </c>
      <c r="N93" s="251">
        <v>45.503617242083841</v>
      </c>
      <c r="O93" s="251">
        <v>46.139695390123606</v>
      </c>
      <c r="P93" s="251">
        <v>49.614388035668213</v>
      </c>
      <c r="Q93" s="251">
        <v>47.663077540320288</v>
      </c>
    </row>
    <row r="94" spans="1:17" ht="11.4" customHeight="1">
      <c r="A94" s="235" t="s">
        <v>529</v>
      </c>
      <c r="B94" s="251" t="s">
        <v>658</v>
      </c>
      <c r="C94" s="251" t="s">
        <v>658</v>
      </c>
      <c r="D94" s="251" t="s">
        <v>658</v>
      </c>
      <c r="E94" s="251" t="s">
        <v>658</v>
      </c>
      <c r="F94" s="251" t="s">
        <v>658</v>
      </c>
      <c r="G94" s="251">
        <v>49.459534561170358</v>
      </c>
      <c r="H94" s="251">
        <v>49.349920567686034</v>
      </c>
      <c r="I94" s="251">
        <v>48.252535889260102</v>
      </c>
      <c r="J94" s="251">
        <v>47.73266309794753</v>
      </c>
      <c r="K94" s="251">
        <v>45.456583703456097</v>
      </c>
      <c r="L94" s="251">
        <v>44.826548035154374</v>
      </c>
      <c r="M94" s="251">
        <v>45.07265169374049</v>
      </c>
      <c r="N94" s="251">
        <v>43.949132294787518</v>
      </c>
      <c r="O94" s="251">
        <v>44.348032487710704</v>
      </c>
      <c r="P94" s="251">
        <v>46.511115931826211</v>
      </c>
      <c r="Q94" s="251">
        <v>45.112395435903345</v>
      </c>
    </row>
    <row r="95" spans="1:17" ht="11.4" customHeight="1">
      <c r="A95" s="235" t="s">
        <v>543</v>
      </c>
      <c r="B95" s="251" t="s">
        <v>658</v>
      </c>
      <c r="C95" s="251" t="s">
        <v>658</v>
      </c>
      <c r="D95" s="251" t="s">
        <v>658</v>
      </c>
      <c r="E95" s="251" t="s">
        <v>658</v>
      </c>
      <c r="F95" s="251" t="s">
        <v>658</v>
      </c>
      <c r="G95" s="251" t="s">
        <v>658</v>
      </c>
      <c r="H95" s="251" t="s">
        <v>658</v>
      </c>
      <c r="I95" s="251" t="s">
        <v>658</v>
      </c>
      <c r="J95" s="251" t="s">
        <v>658</v>
      </c>
      <c r="K95" s="251" t="s">
        <v>658</v>
      </c>
      <c r="L95" s="251" t="s">
        <v>658</v>
      </c>
      <c r="M95" s="251" t="s">
        <v>658</v>
      </c>
      <c r="N95" s="251" t="s">
        <v>658</v>
      </c>
      <c r="O95" s="251">
        <v>21.15603580632791</v>
      </c>
      <c r="P95" s="251">
        <v>20.185139524405486</v>
      </c>
      <c r="Q95" s="251">
        <v>20.317757249433221</v>
      </c>
    </row>
    <row r="96" spans="1:17" ht="11.4" customHeight="1">
      <c r="A96" s="235" t="s">
        <v>533</v>
      </c>
      <c r="B96" s="251" t="s">
        <v>658</v>
      </c>
      <c r="C96" s="251" t="s">
        <v>658</v>
      </c>
      <c r="D96" s="251" t="s">
        <v>658</v>
      </c>
      <c r="E96" s="251" t="s">
        <v>658</v>
      </c>
      <c r="F96" s="251" t="s">
        <v>658</v>
      </c>
      <c r="G96" s="251" t="s">
        <v>658</v>
      </c>
      <c r="H96" s="251">
        <v>19.565070654991988</v>
      </c>
      <c r="I96" s="251">
        <v>19.119483199907034</v>
      </c>
      <c r="J96" s="251">
        <v>18.869970167004414</v>
      </c>
      <c r="K96" s="251">
        <v>18.772624801749529</v>
      </c>
      <c r="L96" s="251">
        <v>18.517302001441681</v>
      </c>
      <c r="M96" s="251">
        <v>18.876734829523958</v>
      </c>
      <c r="N96" s="251">
        <v>18.500247655636702</v>
      </c>
      <c r="O96" s="251">
        <v>19.029197179640796</v>
      </c>
      <c r="P96" s="251">
        <v>20.023034616233961</v>
      </c>
      <c r="Q96" s="251">
        <v>19.502734719970224</v>
      </c>
    </row>
    <row r="97" spans="1:17" ht="11.4" customHeight="1">
      <c r="A97" s="233" t="s">
        <v>534</v>
      </c>
      <c r="B97" s="250">
        <v>31.157484275646805</v>
      </c>
      <c r="C97" s="250">
        <v>30.687593971478528</v>
      </c>
      <c r="D97" s="250">
        <v>30.472897369273095</v>
      </c>
      <c r="E97" s="250">
        <v>30.279571428509737</v>
      </c>
      <c r="F97" s="250">
        <v>30.256333251739736</v>
      </c>
      <c r="G97" s="250">
        <v>29.787479482542867</v>
      </c>
      <c r="H97" s="250">
        <v>30.579244523327507</v>
      </c>
      <c r="I97" s="250">
        <v>28.692134347136392</v>
      </c>
      <c r="J97" s="250">
        <v>28.188420460704283</v>
      </c>
      <c r="K97" s="250">
        <v>27.832054675765267</v>
      </c>
      <c r="L97" s="250">
        <v>27.550846079263241</v>
      </c>
      <c r="M97" s="250">
        <v>27.306754334611057</v>
      </c>
      <c r="N97" s="250">
        <v>27.071860537367691</v>
      </c>
      <c r="O97" s="250">
        <v>26.850785165791322</v>
      </c>
      <c r="P97" s="250">
        <v>26.934692112613181</v>
      </c>
      <c r="Q97" s="250">
        <v>26.833732569806582</v>
      </c>
    </row>
    <row r="98" spans="1:17" ht="11.4" customHeight="1">
      <c r="A98" s="235" t="s">
        <v>526</v>
      </c>
      <c r="B98" s="252" t="s">
        <v>658</v>
      </c>
      <c r="C98" s="252" t="s">
        <v>658</v>
      </c>
      <c r="D98" s="252" t="s">
        <v>658</v>
      </c>
      <c r="E98" s="252" t="s">
        <v>658</v>
      </c>
      <c r="F98" s="252" t="s">
        <v>658</v>
      </c>
      <c r="G98" s="252" t="s">
        <v>658</v>
      </c>
      <c r="H98" s="252" t="s">
        <v>658</v>
      </c>
      <c r="I98" s="252" t="s">
        <v>658</v>
      </c>
      <c r="J98" s="252" t="s">
        <v>658</v>
      </c>
      <c r="K98" s="252" t="s">
        <v>658</v>
      </c>
      <c r="L98" s="252" t="s">
        <v>658</v>
      </c>
      <c r="M98" s="252" t="s">
        <v>658</v>
      </c>
      <c r="N98" s="252" t="s">
        <v>658</v>
      </c>
      <c r="O98" s="252" t="s">
        <v>658</v>
      </c>
      <c r="P98" s="252" t="s">
        <v>658</v>
      </c>
      <c r="Q98" s="252" t="s">
        <v>658</v>
      </c>
    </row>
    <row r="99" spans="1:17" ht="11.4" customHeight="1">
      <c r="A99" s="235" t="s">
        <v>527</v>
      </c>
      <c r="B99" s="252">
        <v>31.224963473996869</v>
      </c>
      <c r="C99" s="252">
        <v>30.780705543930541</v>
      </c>
      <c r="D99" s="252">
        <v>30.599132487116066</v>
      </c>
      <c r="E99" s="252">
        <v>30.411995574078396</v>
      </c>
      <c r="F99" s="252">
        <v>30.191808547640878</v>
      </c>
      <c r="G99" s="252">
        <v>29.910145252523794</v>
      </c>
      <c r="H99" s="252">
        <v>30.717676688342639</v>
      </c>
      <c r="I99" s="252">
        <v>28.833814970950851</v>
      </c>
      <c r="J99" s="252">
        <v>28.301625419901104</v>
      </c>
      <c r="K99" s="252">
        <v>27.961722285390952</v>
      </c>
      <c r="L99" s="252">
        <v>27.68177360369101</v>
      </c>
      <c r="M99" s="252">
        <v>27.427938259017861</v>
      </c>
      <c r="N99" s="252">
        <v>27.203478651327259</v>
      </c>
      <c r="O99" s="252">
        <v>26.991842397069806</v>
      </c>
      <c r="P99" s="252">
        <v>26.985669814855047</v>
      </c>
      <c r="Q99" s="252">
        <v>26.931402520258107</v>
      </c>
    </row>
    <row r="100" spans="1:17" ht="11.4" customHeight="1">
      <c r="A100" s="235" t="s">
        <v>528</v>
      </c>
      <c r="B100" s="252" t="s">
        <v>658</v>
      </c>
      <c r="C100" s="252" t="s">
        <v>658</v>
      </c>
      <c r="D100" s="252" t="s">
        <v>658</v>
      </c>
      <c r="E100" s="252" t="s">
        <v>658</v>
      </c>
      <c r="F100" s="252">
        <v>22.982208694845021</v>
      </c>
      <c r="G100" s="252">
        <v>22.979784344219201</v>
      </c>
      <c r="H100" s="252">
        <v>23.818910232518174</v>
      </c>
      <c r="I100" s="252">
        <v>22.708739598602936</v>
      </c>
      <c r="J100" s="252">
        <v>22.468530678051167</v>
      </c>
      <c r="K100" s="252">
        <v>22.355506859373296</v>
      </c>
      <c r="L100" s="252">
        <v>22.320509857857541</v>
      </c>
      <c r="M100" s="252">
        <v>22.339776502144758</v>
      </c>
      <c r="N100" s="252">
        <v>22.380839209446865</v>
      </c>
      <c r="O100" s="252">
        <v>22.421747817480814</v>
      </c>
      <c r="P100" s="252">
        <v>22.46574214601873</v>
      </c>
      <c r="Q100" s="252">
        <v>22.510881091971076</v>
      </c>
    </row>
    <row r="101" spans="1:17" ht="11.4" customHeight="1">
      <c r="A101" s="235" t="s">
        <v>529</v>
      </c>
      <c r="B101" s="252">
        <v>26.015279147396456</v>
      </c>
      <c r="C101" s="252">
        <v>25.370109399473449</v>
      </c>
      <c r="D101" s="252">
        <v>25.017955102842841</v>
      </c>
      <c r="E101" s="252">
        <v>25.513883704651573</v>
      </c>
      <c r="F101" s="252">
        <v>33.613935103706403</v>
      </c>
      <c r="G101" s="252">
        <v>24.501199127013706</v>
      </c>
      <c r="H101" s="252">
        <v>25.923163421318222</v>
      </c>
      <c r="I101" s="252">
        <v>23.899572301026303</v>
      </c>
      <c r="J101" s="252">
        <v>22.956269654621224</v>
      </c>
      <c r="K101" s="252">
        <v>22.827583861512277</v>
      </c>
      <c r="L101" s="252">
        <v>22.807753484446</v>
      </c>
      <c r="M101" s="252">
        <v>22.65238177699888</v>
      </c>
      <c r="N101" s="252">
        <v>22.469580424051088</v>
      </c>
      <c r="O101" s="252">
        <v>22.408950414170878</v>
      </c>
      <c r="P101" s="252">
        <v>25.513421061858303</v>
      </c>
      <c r="Q101" s="252">
        <v>22.468289682169555</v>
      </c>
    </row>
    <row r="102" spans="1:17" ht="11.4" customHeight="1">
      <c r="A102" s="235" t="s">
        <v>533</v>
      </c>
      <c r="B102" s="252">
        <v>18.744418917664504</v>
      </c>
      <c r="C102" s="252">
        <v>18.638782530683823</v>
      </c>
      <c r="D102" s="252">
        <v>18.526829248765633</v>
      </c>
      <c r="E102" s="252">
        <v>18.421321980814039</v>
      </c>
      <c r="F102" s="252">
        <v>18.361994910533237</v>
      </c>
      <c r="G102" s="252">
        <v>18.316760259256892</v>
      </c>
      <c r="H102" s="252">
        <v>18.932655054536379</v>
      </c>
      <c r="I102" s="252">
        <v>18.019467437701628</v>
      </c>
      <c r="J102" s="252">
        <v>17.832634554297972</v>
      </c>
      <c r="K102" s="252">
        <v>17.433123558920812</v>
      </c>
      <c r="L102" s="252">
        <v>17.284669303237425</v>
      </c>
      <c r="M102" s="252">
        <v>17.050839143388671</v>
      </c>
      <c r="N102" s="252">
        <v>16.992242148439406</v>
      </c>
      <c r="O102" s="252">
        <v>16.974584510068958</v>
      </c>
      <c r="P102" s="252">
        <v>16.702635763648882</v>
      </c>
      <c r="Q102" s="252">
        <v>16.641583363890593</v>
      </c>
    </row>
    <row r="103" spans="1:17" ht="11.4" customHeight="1">
      <c r="A103" s="227" t="s">
        <v>547</v>
      </c>
      <c r="B103" s="248">
        <v>53.511006857158769</v>
      </c>
      <c r="C103" s="248">
        <v>48.916811336884649</v>
      </c>
      <c r="D103" s="248">
        <v>47.498820776839111</v>
      </c>
      <c r="E103" s="248">
        <v>45.229990662430403</v>
      </c>
      <c r="F103" s="248">
        <v>41.173029037087119</v>
      </c>
      <c r="G103" s="248">
        <v>39.013947688305493</v>
      </c>
      <c r="H103" s="248">
        <v>38.91142665138748</v>
      </c>
      <c r="I103" s="248">
        <v>36.572483568784584</v>
      </c>
      <c r="J103" s="248">
        <v>35.352320393406707</v>
      </c>
      <c r="K103" s="248">
        <v>37.129015751178223</v>
      </c>
      <c r="L103" s="248">
        <v>37.899062343569987</v>
      </c>
      <c r="M103" s="248">
        <v>36.681325910431546</v>
      </c>
      <c r="N103" s="248">
        <v>39.142793052606493</v>
      </c>
      <c r="O103" s="248">
        <v>39.134549320872438</v>
      </c>
      <c r="P103" s="248">
        <v>36.951486229025669</v>
      </c>
      <c r="Q103" s="248">
        <v>37.991355948535954</v>
      </c>
    </row>
    <row r="104" spans="1:17" ht="11.4" customHeight="1">
      <c r="A104" s="239" t="s">
        <v>536</v>
      </c>
      <c r="B104" s="249">
        <v>213.33076357322773</v>
      </c>
      <c r="C104" s="249">
        <v>208.59200853752384</v>
      </c>
      <c r="D104" s="249">
        <v>208.19873918525897</v>
      </c>
      <c r="E104" s="249">
        <v>206.63559547211995</v>
      </c>
      <c r="F104" s="249">
        <v>205.51100043840421</v>
      </c>
      <c r="G104" s="249">
        <v>206.15040551228171</v>
      </c>
      <c r="H104" s="249">
        <v>205.68157067289965</v>
      </c>
      <c r="I104" s="249">
        <v>205.00297544396005</v>
      </c>
      <c r="J104" s="249">
        <v>202.30315752657228</v>
      </c>
      <c r="K104" s="249">
        <v>199.93335605512442</v>
      </c>
      <c r="L104" s="249">
        <v>197.79149829845218</v>
      </c>
      <c r="M104" s="249">
        <v>194.88867526335872</v>
      </c>
      <c r="N104" s="249">
        <v>192.0689291494617</v>
      </c>
      <c r="O104" s="249">
        <v>191.38691342458731</v>
      </c>
      <c r="P104" s="249">
        <v>190.45919898489569</v>
      </c>
      <c r="Q104" s="249">
        <v>188.28533388385912</v>
      </c>
    </row>
    <row r="105" spans="1:17" ht="11.4" customHeight="1">
      <c r="A105" s="235" t="s">
        <v>526</v>
      </c>
      <c r="B105" s="251">
        <v>272.72170502969664</v>
      </c>
      <c r="C105" s="251">
        <v>269.87584248638899</v>
      </c>
      <c r="D105" s="251">
        <v>271.54256275914696</v>
      </c>
      <c r="E105" s="251">
        <v>270.85602425802426</v>
      </c>
      <c r="F105" s="251">
        <v>270.84517912441657</v>
      </c>
      <c r="G105" s="251">
        <v>269.44694533564905</v>
      </c>
      <c r="H105" s="251">
        <v>265.98935128521879</v>
      </c>
      <c r="I105" s="251">
        <v>263.53480482007552</v>
      </c>
      <c r="J105" s="251">
        <v>257.55642511478806</v>
      </c>
      <c r="K105" s="251">
        <v>253.44557140612068</v>
      </c>
      <c r="L105" s="251">
        <v>248.45514967656689</v>
      </c>
      <c r="M105" s="251">
        <v>243.43755596927926</v>
      </c>
      <c r="N105" s="251">
        <v>236.97406682222979</v>
      </c>
      <c r="O105" s="251">
        <v>233.37903245719735</v>
      </c>
      <c r="P105" s="251">
        <v>230.34235233302823</v>
      </c>
      <c r="Q105" s="251">
        <v>227.92625108632609</v>
      </c>
    </row>
    <row r="106" spans="1:17" ht="11.4" customHeight="1">
      <c r="A106" s="235" t="s">
        <v>527</v>
      </c>
      <c r="B106" s="251">
        <v>206.06498388391421</v>
      </c>
      <c r="C106" s="251">
        <v>201.94306700268845</v>
      </c>
      <c r="D106" s="251">
        <v>202.01826160288817</v>
      </c>
      <c r="E106" s="251">
        <v>201.01493527361413</v>
      </c>
      <c r="F106" s="251">
        <v>200.42475238538992</v>
      </c>
      <c r="G106" s="251">
        <v>201.76542718954687</v>
      </c>
      <c r="H106" s="251">
        <v>201.64372303999801</v>
      </c>
      <c r="I106" s="251">
        <v>201.09412717976355</v>
      </c>
      <c r="J106" s="251">
        <v>198.65975595323138</v>
      </c>
      <c r="K106" s="251">
        <v>196.33361367791784</v>
      </c>
      <c r="L106" s="251">
        <v>194.33873714234298</v>
      </c>
      <c r="M106" s="251">
        <v>191.63676923003135</v>
      </c>
      <c r="N106" s="251">
        <v>189.06026158722759</v>
      </c>
      <c r="O106" s="251">
        <v>188.6462060556058</v>
      </c>
      <c r="P106" s="251">
        <v>187.87729321364409</v>
      </c>
      <c r="Q106" s="251">
        <v>185.82096794405319</v>
      </c>
    </row>
    <row r="107" spans="1:17" ht="11.4" customHeight="1">
      <c r="A107" s="235" t="s">
        <v>528</v>
      </c>
      <c r="B107" s="251" t="s">
        <v>658</v>
      </c>
      <c r="C107" s="251" t="s">
        <v>658</v>
      </c>
      <c r="D107" s="251" t="s">
        <v>658</v>
      </c>
      <c r="E107" s="251" t="s">
        <v>658</v>
      </c>
      <c r="F107" s="251" t="s">
        <v>658</v>
      </c>
      <c r="G107" s="251" t="s">
        <v>658</v>
      </c>
      <c r="H107" s="251">
        <v>304.12800471919877</v>
      </c>
      <c r="I107" s="251">
        <v>306.28655776898069</v>
      </c>
      <c r="J107" s="251">
        <v>303.93515954898476</v>
      </c>
      <c r="K107" s="251">
        <v>300.90519705043067</v>
      </c>
      <c r="L107" s="251">
        <v>297.10694219040187</v>
      </c>
      <c r="M107" s="251">
        <v>295.9000032578889</v>
      </c>
      <c r="N107" s="251">
        <v>296.31319185998257</v>
      </c>
      <c r="O107" s="251">
        <v>297.62616339670956</v>
      </c>
      <c r="P107" s="251">
        <v>295.99739850535491</v>
      </c>
      <c r="Q107" s="251">
        <v>296.13026230730878</v>
      </c>
    </row>
    <row r="108" spans="1:17" ht="11.4" customHeight="1">
      <c r="A108" s="235" t="s">
        <v>529</v>
      </c>
      <c r="B108" s="251" t="s">
        <v>658</v>
      </c>
      <c r="C108" s="251" t="s">
        <v>658</v>
      </c>
      <c r="D108" s="251" t="s">
        <v>658</v>
      </c>
      <c r="E108" s="251" t="s">
        <v>658</v>
      </c>
      <c r="F108" s="251" t="s">
        <v>658</v>
      </c>
      <c r="G108" s="251" t="s">
        <v>658</v>
      </c>
      <c r="H108" s="251">
        <v>274.62835974188181</v>
      </c>
      <c r="I108" s="251">
        <v>276.87158896324183</v>
      </c>
      <c r="J108" s="251">
        <v>274.096710969242</v>
      </c>
      <c r="K108" s="251">
        <v>268.52058374251845</v>
      </c>
      <c r="L108" s="251">
        <v>264.72580568699715</v>
      </c>
      <c r="M108" s="251">
        <v>262.03437339909084</v>
      </c>
      <c r="N108" s="251">
        <v>259.32457068422474</v>
      </c>
      <c r="O108" s="251">
        <v>257.31787578811446</v>
      </c>
      <c r="P108" s="251">
        <v>257.07139692820977</v>
      </c>
      <c r="Q108" s="251">
        <v>255.32530800361974</v>
      </c>
    </row>
    <row r="109" spans="1:17" ht="11.4" customHeight="1">
      <c r="A109" s="235" t="s">
        <v>533</v>
      </c>
      <c r="B109" s="251">
        <v>133.53606506794569</v>
      </c>
      <c r="C109" s="251">
        <v>133.29663958642377</v>
      </c>
      <c r="D109" s="251">
        <v>133.67410936348043</v>
      </c>
      <c r="E109" s="251">
        <v>134.01873461965098</v>
      </c>
      <c r="F109" s="251">
        <v>134.32165877016428</v>
      </c>
      <c r="G109" s="251">
        <v>134.67316441465289</v>
      </c>
      <c r="H109" s="251">
        <v>134.62141868144531</v>
      </c>
      <c r="I109" s="251">
        <v>134.54584732976329</v>
      </c>
      <c r="J109" s="251">
        <v>134.23974172453978</v>
      </c>
      <c r="K109" s="251">
        <v>133.62361275958327</v>
      </c>
      <c r="L109" s="251">
        <v>132.00069935850658</v>
      </c>
      <c r="M109" s="251">
        <v>130.54102086417743</v>
      </c>
      <c r="N109" s="251">
        <v>128.38799559283663</v>
      </c>
      <c r="O109" s="251">
        <v>127.97739122679816</v>
      </c>
      <c r="P109" s="251">
        <v>128.2249603709526</v>
      </c>
      <c r="Q109" s="251">
        <v>128.82521070640786</v>
      </c>
    </row>
    <row r="110" spans="1:17" ht="11.4" customHeight="1">
      <c r="A110" s="233" t="s">
        <v>544</v>
      </c>
      <c r="B110" s="250">
        <v>48.407900231016484</v>
      </c>
      <c r="C110" s="250">
        <v>43.690184461688951</v>
      </c>
      <c r="D110" s="250">
        <v>42.036131631100154</v>
      </c>
      <c r="E110" s="250">
        <v>39.773139365609744</v>
      </c>
      <c r="F110" s="250">
        <v>35.838959016929252</v>
      </c>
      <c r="G110" s="250">
        <v>33.605886072738109</v>
      </c>
      <c r="H110" s="250">
        <v>33.677228893444799</v>
      </c>
      <c r="I110" s="250">
        <v>31.419935213761157</v>
      </c>
      <c r="J110" s="250">
        <v>30.369798264270308</v>
      </c>
      <c r="K110" s="250">
        <v>31.862212989242149</v>
      </c>
      <c r="L110" s="250">
        <v>33.025344780565177</v>
      </c>
      <c r="M110" s="250">
        <v>31.866377965572326</v>
      </c>
      <c r="N110" s="250">
        <v>34.419320566386908</v>
      </c>
      <c r="O110" s="250">
        <v>34.429335449945668</v>
      </c>
      <c r="P110" s="250">
        <v>32.190123701642371</v>
      </c>
      <c r="Q110" s="250">
        <v>33.309689752329234</v>
      </c>
    </row>
    <row r="111" spans="1:17" ht="11.4" customHeight="1">
      <c r="A111" s="223" t="s">
        <v>538</v>
      </c>
      <c r="B111" s="252">
        <v>49.343937993404644</v>
      </c>
      <c r="C111" s="252">
        <v>47.844597361009932</v>
      </c>
      <c r="D111" s="252">
        <v>46.714270164235145</v>
      </c>
      <c r="E111" s="252">
        <v>45.346225463142744</v>
      </c>
      <c r="F111" s="252">
        <v>44.333015239369189</v>
      </c>
      <c r="G111" s="252">
        <v>42.89670389463042</v>
      </c>
      <c r="H111" s="252">
        <v>42.420574552172766</v>
      </c>
      <c r="I111" s="252">
        <v>41.798012848933325</v>
      </c>
      <c r="J111" s="252">
        <v>41.917376231200663</v>
      </c>
      <c r="K111" s="252">
        <v>42.544309516579922</v>
      </c>
      <c r="L111" s="252">
        <v>42.197645596820699</v>
      </c>
      <c r="M111" s="252">
        <v>41.668815592478005</v>
      </c>
      <c r="N111" s="252">
        <v>42.446863235444482</v>
      </c>
      <c r="O111" s="252">
        <v>42.228839275356066</v>
      </c>
      <c r="P111" s="252">
        <v>41.736499478290618</v>
      </c>
      <c r="Q111" s="252">
        <v>41.806879628736311</v>
      </c>
    </row>
    <row r="112" spans="1:17" ht="11.4" customHeight="1">
      <c r="A112" s="246" t="s">
        <v>539</v>
      </c>
      <c r="B112" s="253">
        <v>46.246750336533054</v>
      </c>
      <c r="C112" s="253">
        <v>34.535503686398521</v>
      </c>
      <c r="D112" s="253">
        <v>32.467661365132045</v>
      </c>
      <c r="E112" s="253">
        <v>28.462268227777518</v>
      </c>
      <c r="F112" s="253">
        <v>20.544823094409345</v>
      </c>
      <c r="G112" s="253">
        <v>17.029291064076734</v>
      </c>
      <c r="H112" s="253">
        <v>18.316451051813601</v>
      </c>
      <c r="I112" s="253">
        <v>13.536621993360745</v>
      </c>
      <c r="J112" s="253">
        <v>10.716248000866761</v>
      </c>
      <c r="K112" s="253">
        <v>13.088513659544798</v>
      </c>
      <c r="L112" s="253">
        <v>17.836368116349831</v>
      </c>
      <c r="M112" s="253">
        <v>14.835695183124287</v>
      </c>
      <c r="N112" s="253">
        <v>21.131535099353169</v>
      </c>
      <c r="O112" s="253">
        <v>21.909792554842625</v>
      </c>
      <c r="P112" s="253">
        <v>16.865630670046027</v>
      </c>
      <c r="Q112" s="253">
        <v>19.231411781473941</v>
      </c>
    </row>
    <row r="114" spans="1:17" ht="11.4" customHeight="1">
      <c r="A114" s="217" t="s">
        <v>548</v>
      </c>
      <c r="B114" s="247"/>
      <c r="C114" s="247"/>
      <c r="D114" s="247"/>
      <c r="E114" s="247"/>
      <c r="F114" s="247"/>
      <c r="G114" s="247"/>
      <c r="H114" s="247"/>
      <c r="I114" s="247"/>
      <c r="J114" s="247"/>
      <c r="K114" s="247"/>
      <c r="L114" s="247"/>
      <c r="M114" s="247"/>
      <c r="N114" s="247"/>
      <c r="O114" s="247"/>
      <c r="P114" s="247"/>
      <c r="Q114" s="247"/>
    </row>
    <row r="115" spans="1:17" ht="11.4" customHeight="1">
      <c r="A115" s="227" t="s">
        <v>522</v>
      </c>
      <c r="B115" s="248"/>
      <c r="C115" s="248"/>
      <c r="D115" s="248"/>
      <c r="E115" s="248"/>
      <c r="F115" s="248"/>
      <c r="G115" s="248"/>
      <c r="H115" s="248"/>
      <c r="I115" s="248"/>
      <c r="J115" s="248"/>
      <c r="K115" s="248"/>
      <c r="L115" s="248"/>
      <c r="M115" s="248"/>
      <c r="N115" s="248"/>
      <c r="O115" s="248"/>
      <c r="P115" s="248"/>
      <c r="Q115" s="248"/>
    </row>
    <row r="116" spans="1:17" ht="11.4" customHeight="1">
      <c r="A116" s="239" t="s">
        <v>542</v>
      </c>
      <c r="B116" s="249">
        <v>103.24328669410261</v>
      </c>
      <c r="C116" s="249">
        <v>98.876163021726725</v>
      </c>
      <c r="D116" s="249">
        <v>102.14925793531074</v>
      </c>
      <c r="E116" s="249">
        <v>96.308379930161479</v>
      </c>
      <c r="F116" s="249">
        <v>95.104881280236242</v>
      </c>
      <c r="G116" s="249">
        <v>93.143392953685421</v>
      </c>
      <c r="H116" s="249">
        <v>90.973987995766677</v>
      </c>
      <c r="I116" s="249">
        <v>74.78035637744668</v>
      </c>
      <c r="J116" s="249">
        <v>72.656437678124831</v>
      </c>
      <c r="K116" s="249">
        <v>73.837359636021773</v>
      </c>
      <c r="L116" s="249">
        <v>73.35253306754106</v>
      </c>
      <c r="M116" s="249">
        <v>74.570716992748117</v>
      </c>
      <c r="N116" s="249">
        <v>73.259569754223961</v>
      </c>
      <c r="O116" s="249">
        <v>75.719103710108527</v>
      </c>
      <c r="P116" s="249">
        <v>77.796043014996982</v>
      </c>
      <c r="Q116" s="249">
        <v>74.822778138856648</v>
      </c>
    </row>
    <row r="117" spans="1:17" ht="11.4" customHeight="1">
      <c r="A117" s="233" t="s">
        <v>525</v>
      </c>
      <c r="B117" s="250">
        <v>938.00333015600654</v>
      </c>
      <c r="C117" s="250">
        <v>927.2971638864268</v>
      </c>
      <c r="D117" s="250">
        <v>916.25636829819689</v>
      </c>
      <c r="E117" s="250">
        <v>865.60875031709725</v>
      </c>
      <c r="F117" s="250">
        <v>877.86017531020752</v>
      </c>
      <c r="G117" s="250">
        <v>835.13199021813216</v>
      </c>
      <c r="H117" s="250">
        <v>827.30869326068034</v>
      </c>
      <c r="I117" s="250">
        <v>805.06318804583134</v>
      </c>
      <c r="J117" s="250">
        <v>796.405246161582</v>
      </c>
      <c r="K117" s="250">
        <v>785.92265491686828</v>
      </c>
      <c r="L117" s="250">
        <v>765.26059691398791</v>
      </c>
      <c r="M117" s="250">
        <v>768.46053145981034</v>
      </c>
      <c r="N117" s="250">
        <v>737.40150896013836</v>
      </c>
      <c r="O117" s="250">
        <v>746.65386265185691</v>
      </c>
      <c r="P117" s="250">
        <v>774.97160949468071</v>
      </c>
      <c r="Q117" s="250">
        <v>741.52562759413331</v>
      </c>
    </row>
    <row r="118" spans="1:17" ht="11.4" customHeight="1">
      <c r="A118" s="235" t="s">
        <v>526</v>
      </c>
      <c r="B118" s="251">
        <v>896.78989462893412</v>
      </c>
      <c r="C118" s="251">
        <v>874.66752103303736</v>
      </c>
      <c r="D118" s="251">
        <v>856.79163662044846</v>
      </c>
      <c r="E118" s="251">
        <v>791.29794028480069</v>
      </c>
      <c r="F118" s="251">
        <v>778.14972706857816</v>
      </c>
      <c r="G118" s="251">
        <v>732.7411339496532</v>
      </c>
      <c r="H118" s="251">
        <v>710.47359878413988</v>
      </c>
      <c r="I118" s="251">
        <v>678.69540013191556</v>
      </c>
      <c r="J118" s="251">
        <v>671.79496267309776</v>
      </c>
      <c r="K118" s="251">
        <v>650.33346780054478</v>
      </c>
      <c r="L118" s="251">
        <v>626.45153239503361</v>
      </c>
      <c r="M118" s="251">
        <v>625.21298923252562</v>
      </c>
      <c r="N118" s="251">
        <v>591.45697435308375</v>
      </c>
      <c r="O118" s="251">
        <v>593.56240616156913</v>
      </c>
      <c r="P118" s="251">
        <v>598.50457782040473</v>
      </c>
      <c r="Q118" s="251">
        <v>572.62746993111284</v>
      </c>
    </row>
    <row r="119" spans="1:17" ht="11.4" customHeight="1">
      <c r="A119" s="235" t="s">
        <v>527</v>
      </c>
      <c r="B119" s="251">
        <v>1178.2285868342512</v>
      </c>
      <c r="C119" s="251">
        <v>1207.2920589067955</v>
      </c>
      <c r="D119" s="251">
        <v>1203.5095529332139</v>
      </c>
      <c r="E119" s="251">
        <v>1192.2818039722481</v>
      </c>
      <c r="F119" s="251">
        <v>1273.547757713975</v>
      </c>
      <c r="G119" s="251">
        <v>1194.1915025834123</v>
      </c>
      <c r="H119" s="251">
        <v>1205.6823852846796</v>
      </c>
      <c r="I119" s="251">
        <v>1192.9143163829135</v>
      </c>
      <c r="J119" s="251">
        <v>1155.1492326131981</v>
      </c>
      <c r="K119" s="251">
        <v>1149.3990074113835</v>
      </c>
      <c r="L119" s="251">
        <v>1125.1756291206866</v>
      </c>
      <c r="M119" s="251">
        <v>1119.3200638874173</v>
      </c>
      <c r="N119" s="251">
        <v>1068.6567185011399</v>
      </c>
      <c r="O119" s="251">
        <v>1075.4045961918064</v>
      </c>
      <c r="P119" s="251">
        <v>1135.6680886833556</v>
      </c>
      <c r="Q119" s="251">
        <v>1071.7589005703337</v>
      </c>
    </row>
    <row r="120" spans="1:17" ht="11.4" customHeight="1">
      <c r="A120" s="235" t="s">
        <v>528</v>
      </c>
      <c r="B120" s="251">
        <v>1153.6250257683068</v>
      </c>
      <c r="C120" s="251">
        <v>1155.5069143972173</v>
      </c>
      <c r="D120" s="251">
        <v>1121.0912623530562</v>
      </c>
      <c r="E120" s="251">
        <v>1071.5570365577482</v>
      </c>
      <c r="F120" s="251">
        <v>1115.3972788961501</v>
      </c>
      <c r="G120" s="251">
        <v>1105.0228243929459</v>
      </c>
      <c r="H120" s="251">
        <v>1048.8434792468424</v>
      </c>
      <c r="I120" s="251">
        <v>1002.70296021897</v>
      </c>
      <c r="J120" s="251">
        <v>1063.2979024556344</v>
      </c>
      <c r="K120" s="251">
        <v>1061.4451216481248</v>
      </c>
      <c r="L120" s="251">
        <v>999.6985429114618</v>
      </c>
      <c r="M120" s="251">
        <v>998.98252796350982</v>
      </c>
      <c r="N120" s="251">
        <v>1054.4551295783842</v>
      </c>
      <c r="O120" s="251">
        <v>1068.1059807210029</v>
      </c>
      <c r="P120" s="251">
        <v>1153.7082088090785</v>
      </c>
      <c r="Q120" s="251">
        <v>1104.1769723942573</v>
      </c>
    </row>
    <row r="121" spans="1:17" ht="11.4" customHeight="1">
      <c r="A121" s="235" t="s">
        <v>529</v>
      </c>
      <c r="B121" s="251" t="s">
        <v>658</v>
      </c>
      <c r="C121" s="251" t="s">
        <v>658</v>
      </c>
      <c r="D121" s="251" t="s">
        <v>658</v>
      </c>
      <c r="E121" s="251" t="s">
        <v>658</v>
      </c>
      <c r="F121" s="251" t="s">
        <v>658</v>
      </c>
      <c r="G121" s="251">
        <v>1490.0952067885707</v>
      </c>
      <c r="H121" s="251">
        <v>1455.3505640299645</v>
      </c>
      <c r="I121" s="251">
        <v>1392.9357701905415</v>
      </c>
      <c r="J121" s="251">
        <v>1353.1233498549414</v>
      </c>
      <c r="K121" s="251">
        <v>1315.9528912053229</v>
      </c>
      <c r="L121" s="251">
        <v>1305.8084803967977</v>
      </c>
      <c r="M121" s="251">
        <v>1320.5841893667582</v>
      </c>
      <c r="N121" s="251">
        <v>1291.6790897908106</v>
      </c>
      <c r="O121" s="251">
        <v>1328.6483329655146</v>
      </c>
      <c r="P121" s="251">
        <v>1372.2745141247683</v>
      </c>
      <c r="Q121" s="251">
        <v>1300.0145588994515</v>
      </c>
    </row>
    <row r="122" spans="1:17" ht="11.4" customHeight="1">
      <c r="A122" s="235" t="s">
        <v>543</v>
      </c>
      <c r="B122" s="251" t="s">
        <v>658</v>
      </c>
      <c r="C122" s="251" t="s">
        <v>658</v>
      </c>
      <c r="D122" s="251" t="s">
        <v>658</v>
      </c>
      <c r="E122" s="251" t="s">
        <v>658</v>
      </c>
      <c r="F122" s="251" t="s">
        <v>658</v>
      </c>
      <c r="G122" s="251" t="s">
        <v>658</v>
      </c>
      <c r="H122" s="251" t="s">
        <v>658</v>
      </c>
      <c r="I122" s="251" t="s">
        <v>658</v>
      </c>
      <c r="J122" s="251" t="s">
        <v>658</v>
      </c>
      <c r="K122" s="251" t="s">
        <v>658</v>
      </c>
      <c r="L122" s="251" t="s">
        <v>658</v>
      </c>
      <c r="M122" s="251" t="s">
        <v>658</v>
      </c>
      <c r="N122" s="251" t="s">
        <v>658</v>
      </c>
      <c r="O122" s="251">
        <v>331.51658338539653</v>
      </c>
      <c r="P122" s="251">
        <v>308.93862316378051</v>
      </c>
      <c r="Q122" s="251">
        <v>309.9123577438429</v>
      </c>
    </row>
    <row r="123" spans="1:17" ht="11.4" customHeight="1">
      <c r="A123" s="235" t="s">
        <v>533</v>
      </c>
      <c r="B123" s="251" t="s">
        <v>658</v>
      </c>
      <c r="C123" s="251" t="s">
        <v>658</v>
      </c>
      <c r="D123" s="251" t="s">
        <v>658</v>
      </c>
      <c r="E123" s="251" t="s">
        <v>658</v>
      </c>
      <c r="F123" s="251" t="s">
        <v>658</v>
      </c>
      <c r="G123" s="251" t="s">
        <v>658</v>
      </c>
      <c r="H123" s="251">
        <v>486.94811191218821</v>
      </c>
      <c r="I123" s="251">
        <v>488.93410975693706</v>
      </c>
      <c r="J123" s="251">
        <v>489.10904216794734</v>
      </c>
      <c r="K123" s="251">
        <v>490.86652101547463</v>
      </c>
      <c r="L123" s="251">
        <v>492.93937498115901</v>
      </c>
      <c r="M123" s="251">
        <v>494.91487843003682</v>
      </c>
      <c r="N123" s="251">
        <v>498.12656452983066</v>
      </c>
      <c r="O123" s="251">
        <v>500.9774457363896</v>
      </c>
      <c r="P123" s="251">
        <v>504.20029631663346</v>
      </c>
      <c r="Q123" s="251">
        <v>508.17534928351205</v>
      </c>
    </row>
    <row r="124" spans="1:17" ht="11.4" customHeight="1">
      <c r="A124" s="233" t="s">
        <v>534</v>
      </c>
      <c r="B124" s="250">
        <v>24809.20438307364</v>
      </c>
      <c r="C124" s="250">
        <v>24363.395535120417</v>
      </c>
      <c r="D124" s="250">
        <v>23941.901370292435</v>
      </c>
      <c r="E124" s="250">
        <v>23634.031815730887</v>
      </c>
      <c r="F124" s="250">
        <v>23992.619783733273</v>
      </c>
      <c r="G124" s="250">
        <v>23808.25644853988</v>
      </c>
      <c r="H124" s="250">
        <v>24223.589983505586</v>
      </c>
      <c r="I124" s="250">
        <v>24991.908517027328</v>
      </c>
      <c r="J124" s="250">
        <v>23815.039643112887</v>
      </c>
      <c r="K124" s="250">
        <v>22611.792016550389</v>
      </c>
      <c r="L124" s="250">
        <v>22255.641418435745</v>
      </c>
      <c r="M124" s="250">
        <v>22064.466970378464</v>
      </c>
      <c r="N124" s="250">
        <v>21152.394879439657</v>
      </c>
      <c r="O124" s="250">
        <v>21153.638338026085</v>
      </c>
      <c r="P124" s="250">
        <v>21616.983644140593</v>
      </c>
      <c r="Q124" s="250">
        <v>22297.223693846554</v>
      </c>
    </row>
    <row r="125" spans="1:17" ht="11.4" customHeight="1">
      <c r="A125" s="235" t="s">
        <v>526</v>
      </c>
      <c r="B125" s="252" t="s">
        <v>658</v>
      </c>
      <c r="C125" s="252" t="s">
        <v>658</v>
      </c>
      <c r="D125" s="252" t="s">
        <v>658</v>
      </c>
      <c r="E125" s="252" t="s">
        <v>658</v>
      </c>
      <c r="F125" s="252" t="s">
        <v>658</v>
      </c>
      <c r="G125" s="252" t="s">
        <v>658</v>
      </c>
      <c r="H125" s="252" t="s">
        <v>658</v>
      </c>
      <c r="I125" s="252" t="s">
        <v>658</v>
      </c>
      <c r="J125" s="252" t="s">
        <v>658</v>
      </c>
      <c r="K125" s="252" t="s">
        <v>658</v>
      </c>
      <c r="L125" s="252" t="s">
        <v>658</v>
      </c>
      <c r="M125" s="252" t="s">
        <v>658</v>
      </c>
      <c r="N125" s="252" t="s">
        <v>658</v>
      </c>
      <c r="O125" s="252" t="s">
        <v>658</v>
      </c>
      <c r="P125" s="252" t="s">
        <v>658</v>
      </c>
      <c r="Q125" s="252" t="s">
        <v>658</v>
      </c>
    </row>
    <row r="126" spans="1:17" ht="11.4" customHeight="1">
      <c r="A126" s="235" t="s">
        <v>527</v>
      </c>
      <c r="B126" s="252">
        <v>24896.610146578176</v>
      </c>
      <c r="C126" s="252">
        <v>24426.650753836537</v>
      </c>
      <c r="D126" s="252">
        <v>23943.919025994855</v>
      </c>
      <c r="E126" s="252">
        <v>23541.122246752879</v>
      </c>
      <c r="F126" s="252">
        <v>23748.176241684963</v>
      </c>
      <c r="G126" s="252">
        <v>23792.350991971587</v>
      </c>
      <c r="H126" s="252">
        <v>24111.06271208579</v>
      </c>
      <c r="I126" s="252">
        <v>24950.683614527701</v>
      </c>
      <c r="J126" s="252">
        <v>23903.934573309085</v>
      </c>
      <c r="K126" s="252">
        <v>22659.612283329097</v>
      </c>
      <c r="L126" s="252">
        <v>22268.765501265909</v>
      </c>
      <c r="M126" s="252">
        <v>22101.632336075156</v>
      </c>
      <c r="N126" s="252">
        <v>21182.119947590712</v>
      </c>
      <c r="O126" s="252">
        <v>21155.64365535403</v>
      </c>
      <c r="P126" s="252">
        <v>21596.665426020834</v>
      </c>
      <c r="Q126" s="252">
        <v>22442.06773417574</v>
      </c>
    </row>
    <row r="127" spans="1:17" ht="11.4" customHeight="1">
      <c r="A127" s="235" t="s">
        <v>528</v>
      </c>
      <c r="B127" s="252" t="s">
        <v>658</v>
      </c>
      <c r="C127" s="252" t="s">
        <v>658</v>
      </c>
      <c r="D127" s="252" t="s">
        <v>658</v>
      </c>
      <c r="E127" s="252" t="s">
        <v>658</v>
      </c>
      <c r="F127" s="252">
        <v>9614.6175682423691</v>
      </c>
      <c r="G127" s="252">
        <v>9790.358083589741</v>
      </c>
      <c r="H127" s="252">
        <v>10171.563488560925</v>
      </c>
      <c r="I127" s="252">
        <v>10795.58242314085</v>
      </c>
      <c r="J127" s="252">
        <v>10443.456359285035</v>
      </c>
      <c r="K127" s="252">
        <v>10070.795499664202</v>
      </c>
      <c r="L127" s="252">
        <v>10094.435549866352</v>
      </c>
      <c r="M127" s="252">
        <v>10207.443049509913</v>
      </c>
      <c r="N127" s="252">
        <v>9971.3500057660167</v>
      </c>
      <c r="O127" s="252">
        <v>10178.192671800296</v>
      </c>
      <c r="P127" s="252">
        <v>10503.666807266802</v>
      </c>
      <c r="Q127" s="252">
        <v>11025.965519510704</v>
      </c>
    </row>
    <row r="128" spans="1:17" ht="11.4" customHeight="1">
      <c r="A128" s="235" t="s">
        <v>529</v>
      </c>
      <c r="B128" s="252">
        <v>18545.124749082963</v>
      </c>
      <c r="C128" s="252">
        <v>20965.033277870218</v>
      </c>
      <c r="D128" s="252">
        <v>24924.28787878788</v>
      </c>
      <c r="E128" s="252">
        <v>30561.797752809038</v>
      </c>
      <c r="F128" s="252">
        <v>40936.468774094072</v>
      </c>
      <c r="G128" s="252">
        <v>25854.5700889541</v>
      </c>
      <c r="H128" s="252">
        <v>31584.571041322863</v>
      </c>
      <c r="I128" s="252">
        <v>27895.058837649885</v>
      </c>
      <c r="J128" s="252">
        <v>19950.181392140279</v>
      </c>
      <c r="K128" s="252">
        <v>21053.852196037904</v>
      </c>
      <c r="L128" s="252">
        <v>22359.466642456526</v>
      </c>
      <c r="M128" s="252">
        <v>20999.168813940443</v>
      </c>
      <c r="N128" s="252">
        <v>20455.864854700441</v>
      </c>
      <c r="O128" s="252">
        <v>21687.255318862492</v>
      </c>
      <c r="P128" s="252">
        <v>23329.040796791967</v>
      </c>
      <c r="Q128" s="252">
        <v>16390.56831038068</v>
      </c>
    </row>
    <row r="129" spans="1:17" ht="11.4" customHeight="1">
      <c r="A129" s="235" t="s">
        <v>533</v>
      </c>
      <c r="B129" s="252">
        <v>13372.367537450189</v>
      </c>
      <c r="C129" s="252">
        <v>13301.230117815205</v>
      </c>
      <c r="D129" s="252">
        <v>13232.753040237067</v>
      </c>
      <c r="E129" s="252">
        <v>13170.717011350971</v>
      </c>
      <c r="F129" s="252">
        <v>13154.943747337418</v>
      </c>
      <c r="G129" s="252">
        <v>13160.218607963052</v>
      </c>
      <c r="H129" s="252">
        <v>13172.399107922911</v>
      </c>
      <c r="I129" s="252">
        <v>13196.709329857387</v>
      </c>
      <c r="J129" s="252">
        <v>13225.767647985296</v>
      </c>
      <c r="K129" s="252">
        <v>13026.854720110352</v>
      </c>
      <c r="L129" s="252">
        <v>12955.506100123528</v>
      </c>
      <c r="M129" s="252">
        <v>12797.805820720956</v>
      </c>
      <c r="N129" s="252">
        <v>12784.116604466451</v>
      </c>
      <c r="O129" s="252">
        <v>12780.11517977021</v>
      </c>
      <c r="P129" s="252">
        <v>12589.00770384331</v>
      </c>
      <c r="Q129" s="252">
        <v>12565.782172685434</v>
      </c>
    </row>
    <row r="130" spans="1:17" ht="11.4" customHeight="1">
      <c r="A130" s="227" t="s">
        <v>535</v>
      </c>
      <c r="B130" s="248"/>
      <c r="C130" s="248"/>
      <c r="D130" s="248"/>
      <c r="E130" s="248"/>
      <c r="F130" s="248"/>
      <c r="G130" s="248"/>
      <c r="H130" s="248"/>
      <c r="I130" s="248"/>
      <c r="J130" s="248"/>
      <c r="K130" s="248"/>
      <c r="L130" s="248"/>
      <c r="M130" s="248"/>
      <c r="N130" s="248"/>
      <c r="O130" s="248"/>
      <c r="P130" s="248"/>
      <c r="Q130" s="248"/>
    </row>
    <row r="131" spans="1:17" ht="11.4" customHeight="1">
      <c r="A131" s="239" t="s">
        <v>536</v>
      </c>
      <c r="B131" s="249">
        <v>1276.7649434543684</v>
      </c>
      <c r="C131" s="249">
        <v>1312.270854240996</v>
      </c>
      <c r="D131" s="249">
        <v>1364.5523906858473</v>
      </c>
      <c r="E131" s="249">
        <v>1368.785597518576</v>
      </c>
      <c r="F131" s="249">
        <v>1393.3261508962498</v>
      </c>
      <c r="G131" s="249">
        <v>1424.1229901314525</v>
      </c>
      <c r="H131" s="249">
        <v>1428.1969631192933</v>
      </c>
      <c r="I131" s="249">
        <v>1429.3191563539729</v>
      </c>
      <c r="J131" s="249">
        <v>1371.9119982829975</v>
      </c>
      <c r="K131" s="249">
        <v>1321.1654953080597</v>
      </c>
      <c r="L131" s="249">
        <v>1248.8075491620239</v>
      </c>
      <c r="M131" s="249">
        <v>1216.6696988996491</v>
      </c>
      <c r="N131" s="249">
        <v>1158.0005783903482</v>
      </c>
      <c r="O131" s="249">
        <v>1157.5587562450571</v>
      </c>
      <c r="P131" s="249">
        <v>1153.4910360736528</v>
      </c>
      <c r="Q131" s="249">
        <v>1119.1051746092555</v>
      </c>
    </row>
    <row r="132" spans="1:17" ht="11.4" customHeight="1">
      <c r="A132" s="235" t="s">
        <v>526</v>
      </c>
      <c r="B132" s="251">
        <v>1267.6771786164195</v>
      </c>
      <c r="C132" s="251">
        <v>1259.3715008835636</v>
      </c>
      <c r="D132" s="251">
        <v>1315.2697544825</v>
      </c>
      <c r="E132" s="251">
        <v>1319.9620125168547</v>
      </c>
      <c r="F132" s="251">
        <v>1340.7333571800884</v>
      </c>
      <c r="G132" s="251">
        <v>1333.165019263249</v>
      </c>
      <c r="H132" s="251">
        <v>1278.89644215168</v>
      </c>
      <c r="I132" s="251">
        <v>1239.0431289756432</v>
      </c>
      <c r="J132" s="251">
        <v>1127.1027777772799</v>
      </c>
      <c r="K132" s="251">
        <v>1079.711991659113</v>
      </c>
      <c r="L132" s="251">
        <v>1036.4911415713416</v>
      </c>
      <c r="M132" s="251">
        <v>1018.3412537557273</v>
      </c>
      <c r="N132" s="251">
        <v>966.20923755556714</v>
      </c>
      <c r="O132" s="251">
        <v>954.9496300842253</v>
      </c>
      <c r="P132" s="251">
        <v>960.54051263056738</v>
      </c>
      <c r="Q132" s="251">
        <v>947.88038987841685</v>
      </c>
    </row>
    <row r="133" spans="1:17" ht="11.4" customHeight="1">
      <c r="A133" s="235" t="s">
        <v>527</v>
      </c>
      <c r="B133" s="251">
        <v>1278.7019648955959</v>
      </c>
      <c r="C133" s="251">
        <v>1320.8055991993735</v>
      </c>
      <c r="D133" s="251">
        <v>1371.7816710953455</v>
      </c>
      <c r="E133" s="251">
        <v>1375.2369026717436</v>
      </c>
      <c r="F133" s="251">
        <v>1399.5402530436406</v>
      </c>
      <c r="G133" s="251">
        <v>1433.6008977553577</v>
      </c>
      <c r="H133" s="251">
        <v>1441.8461849119608</v>
      </c>
      <c r="I133" s="251">
        <v>1445.5453214227412</v>
      </c>
      <c r="J133" s="251">
        <v>1391.073878049096</v>
      </c>
      <c r="K133" s="251">
        <v>1338.8312523505549</v>
      </c>
      <c r="L133" s="251">
        <v>1262.4830953512292</v>
      </c>
      <c r="M133" s="251">
        <v>1228.7453986529063</v>
      </c>
      <c r="N133" s="251">
        <v>1168.7655871256534</v>
      </c>
      <c r="O133" s="251">
        <v>1169.0831301674775</v>
      </c>
      <c r="P133" s="251">
        <v>1164.0982407977206</v>
      </c>
      <c r="Q133" s="251">
        <v>1127.9815479505808</v>
      </c>
    </row>
    <row r="134" spans="1:17" ht="11.4" customHeight="1">
      <c r="A134" s="235" t="s">
        <v>528</v>
      </c>
      <c r="B134" s="251" t="s">
        <v>658</v>
      </c>
      <c r="C134" s="251" t="s">
        <v>658</v>
      </c>
      <c r="D134" s="251" t="s">
        <v>658</v>
      </c>
      <c r="E134" s="251" t="s">
        <v>658</v>
      </c>
      <c r="F134" s="251" t="s">
        <v>658</v>
      </c>
      <c r="G134" s="251" t="s">
        <v>658</v>
      </c>
      <c r="H134" s="251">
        <v>1839.6123605672319</v>
      </c>
      <c r="I134" s="251">
        <v>1854.1568062482781</v>
      </c>
      <c r="J134" s="251">
        <v>1752.7236848287503</v>
      </c>
      <c r="K134" s="251">
        <v>1676.4018678498137</v>
      </c>
      <c r="L134" s="251">
        <v>1572.1745649370935</v>
      </c>
      <c r="M134" s="251">
        <v>1511.9518158593494</v>
      </c>
      <c r="N134" s="251">
        <v>1493.6138635732013</v>
      </c>
      <c r="O134" s="251">
        <v>1517.0009817968851</v>
      </c>
      <c r="P134" s="251">
        <v>1497.5296121113367</v>
      </c>
      <c r="Q134" s="251">
        <v>1466.3608088888859</v>
      </c>
    </row>
    <row r="135" spans="1:17" ht="11.4" customHeight="1">
      <c r="A135" s="235" t="s">
        <v>529</v>
      </c>
      <c r="B135" s="251" t="s">
        <v>658</v>
      </c>
      <c r="C135" s="251" t="s">
        <v>658</v>
      </c>
      <c r="D135" s="251" t="s">
        <v>658</v>
      </c>
      <c r="E135" s="251" t="s">
        <v>658</v>
      </c>
      <c r="F135" s="251" t="s">
        <v>658</v>
      </c>
      <c r="G135" s="251" t="s">
        <v>658</v>
      </c>
      <c r="H135" s="251">
        <v>1404.8093092788479</v>
      </c>
      <c r="I135" s="251">
        <v>1458.3094617487507</v>
      </c>
      <c r="J135" s="251">
        <v>1420.0001544335948</v>
      </c>
      <c r="K135" s="251">
        <v>1361.3451532466343</v>
      </c>
      <c r="L135" s="251">
        <v>1316.2116827586028</v>
      </c>
      <c r="M135" s="251">
        <v>1258.035054493253</v>
      </c>
      <c r="N135" s="251">
        <v>1194.0448236644047</v>
      </c>
      <c r="O135" s="251">
        <v>1160.3127108412889</v>
      </c>
      <c r="P135" s="251">
        <v>1156.5296725343014</v>
      </c>
      <c r="Q135" s="251">
        <v>1130.3257565203514</v>
      </c>
    </row>
    <row r="136" spans="1:17" ht="11.4" customHeight="1">
      <c r="A136" s="235" t="s">
        <v>533</v>
      </c>
      <c r="B136" s="251">
        <v>554.94303425039095</v>
      </c>
      <c r="C136" s="251">
        <v>555.08211768063825</v>
      </c>
      <c r="D136" s="251">
        <v>557.8346798493609</v>
      </c>
      <c r="E136" s="251">
        <v>560.11555405875527</v>
      </c>
      <c r="F136" s="251">
        <v>561.71863397171091</v>
      </c>
      <c r="G136" s="251">
        <v>564.22331664595959</v>
      </c>
      <c r="H136" s="251">
        <v>564.2856174520449</v>
      </c>
      <c r="I136" s="251">
        <v>564.41603377347633</v>
      </c>
      <c r="J136" s="251">
        <v>564.0097640841293</v>
      </c>
      <c r="K136" s="251">
        <v>561.92017541124403</v>
      </c>
      <c r="L136" s="251">
        <v>556.03842860590328</v>
      </c>
      <c r="M136" s="251">
        <v>550.39125507048277</v>
      </c>
      <c r="N136" s="251">
        <v>541.98336487716495</v>
      </c>
      <c r="O136" s="251">
        <v>540.3798662490243</v>
      </c>
      <c r="P136" s="251">
        <v>541.8293070493944</v>
      </c>
      <c r="Q136" s="251">
        <v>544.51194935162653</v>
      </c>
    </row>
    <row r="137" spans="1:17" ht="11.4" customHeight="1">
      <c r="A137" s="233" t="s">
        <v>544</v>
      </c>
      <c r="B137" s="250">
        <v>16668.10898070097</v>
      </c>
      <c r="C137" s="250">
        <v>15655.301369036581</v>
      </c>
      <c r="D137" s="250">
        <v>15749.944826025629</v>
      </c>
      <c r="E137" s="250">
        <v>15630.413548945498</v>
      </c>
      <c r="F137" s="250">
        <v>15126.375845714767</v>
      </c>
      <c r="G137" s="250">
        <v>14673.557153134558</v>
      </c>
      <c r="H137" s="250">
        <v>15484.556429056893</v>
      </c>
      <c r="I137" s="250">
        <v>17349.548462060215</v>
      </c>
      <c r="J137" s="250">
        <v>17266.54792219403</v>
      </c>
      <c r="K137" s="250">
        <v>16710.95905764608</v>
      </c>
      <c r="L137" s="250">
        <v>18135.6004294835</v>
      </c>
      <c r="M137" s="250">
        <v>17681.070360396636</v>
      </c>
      <c r="N137" s="250">
        <v>18704.938651866731</v>
      </c>
      <c r="O137" s="250">
        <v>18745.103200102007</v>
      </c>
      <c r="P137" s="250">
        <v>17646.905866365396</v>
      </c>
      <c r="Q137" s="250">
        <v>18180.742982166816</v>
      </c>
    </row>
    <row r="138" spans="1:17" ht="11.4" customHeight="1">
      <c r="A138" s="223" t="s">
        <v>538</v>
      </c>
      <c r="B138" s="252">
        <v>12999.354476352361</v>
      </c>
      <c r="C138" s="252">
        <v>13023.726572832198</v>
      </c>
      <c r="D138" s="252">
        <v>13108.259265403018</v>
      </c>
      <c r="E138" s="252">
        <v>13402.236838730902</v>
      </c>
      <c r="F138" s="252">
        <v>13801.40663456362</v>
      </c>
      <c r="G138" s="252">
        <v>13851.687792791618</v>
      </c>
      <c r="H138" s="252">
        <v>14465.961807642145</v>
      </c>
      <c r="I138" s="252">
        <v>17613.942767839937</v>
      </c>
      <c r="J138" s="252">
        <v>18296.89139390751</v>
      </c>
      <c r="K138" s="252">
        <v>17017.39117584276</v>
      </c>
      <c r="L138" s="252">
        <v>17469.498530991037</v>
      </c>
      <c r="M138" s="252">
        <v>17682.966545873969</v>
      </c>
      <c r="N138" s="252">
        <v>17375.20185057402</v>
      </c>
      <c r="O138" s="252">
        <v>17186.786847980642</v>
      </c>
      <c r="P138" s="252">
        <v>17121.851940860921</v>
      </c>
      <c r="Q138" s="252">
        <v>17222.810551168961</v>
      </c>
    </row>
    <row r="139" spans="1:17" ht="11.4" customHeight="1">
      <c r="A139" s="246" t="s">
        <v>539</v>
      </c>
      <c r="B139" s="253">
        <v>54694.3613519313</v>
      </c>
      <c r="C139" s="253">
        <v>40859.690759784848</v>
      </c>
      <c r="D139" s="253">
        <v>38704.067959752232</v>
      </c>
      <c r="E139" s="253">
        <v>33801.441992445296</v>
      </c>
      <c r="F139" s="253">
        <v>24125.27502174152</v>
      </c>
      <c r="G139" s="253">
        <v>20009.397807493016</v>
      </c>
      <c r="H139" s="253">
        <v>21702.255788443959</v>
      </c>
      <c r="I139" s="253">
        <v>16066.362828256173</v>
      </c>
      <c r="J139" s="253">
        <v>12558.475918321494</v>
      </c>
      <c r="K139" s="253">
        <v>15152.256904381455</v>
      </c>
      <c r="L139" s="253">
        <v>21320.447364834457</v>
      </c>
      <c r="M139" s="253">
        <v>17671.823202456417</v>
      </c>
      <c r="N139" s="253">
        <v>25089.13149574459</v>
      </c>
      <c r="O139" s="253">
        <v>26053.43610921119</v>
      </c>
      <c r="P139" s="253">
        <v>20094.833727845136</v>
      </c>
      <c r="Q139" s="253">
        <v>22735.2501394301</v>
      </c>
    </row>
    <row r="141" spans="1:17" ht="11.4" customHeight="1">
      <c r="A141" s="217" t="s">
        <v>549</v>
      </c>
      <c r="B141" s="254">
        <f t="shared" ref="B141:Q143" si="10">IF(B17=0,0,B17/B$17)</f>
        <v>1</v>
      </c>
      <c r="C141" s="254">
        <f t="shared" si="10"/>
        <v>1</v>
      </c>
      <c r="D141" s="254">
        <f t="shared" si="10"/>
        <v>1</v>
      </c>
      <c r="E141" s="254">
        <f t="shared" si="10"/>
        <v>1</v>
      </c>
      <c r="F141" s="254">
        <f t="shared" si="10"/>
        <v>1</v>
      </c>
      <c r="G141" s="254">
        <f t="shared" si="10"/>
        <v>1</v>
      </c>
      <c r="H141" s="254">
        <f t="shared" si="10"/>
        <v>1</v>
      </c>
      <c r="I141" s="254">
        <f t="shared" si="10"/>
        <v>1</v>
      </c>
      <c r="J141" s="254">
        <f t="shared" si="10"/>
        <v>1</v>
      </c>
      <c r="K141" s="254">
        <f t="shared" si="10"/>
        <v>1</v>
      </c>
      <c r="L141" s="254">
        <f t="shared" si="10"/>
        <v>1</v>
      </c>
      <c r="M141" s="254">
        <f t="shared" si="10"/>
        <v>1</v>
      </c>
      <c r="N141" s="254">
        <f t="shared" si="10"/>
        <v>1</v>
      </c>
      <c r="O141" s="254">
        <f t="shared" si="10"/>
        <v>1</v>
      </c>
      <c r="P141" s="254">
        <f t="shared" si="10"/>
        <v>1</v>
      </c>
      <c r="Q141" s="254">
        <f t="shared" si="10"/>
        <v>1</v>
      </c>
    </row>
    <row r="142" spans="1:17" ht="11.4" customHeight="1">
      <c r="A142" s="227" t="s">
        <v>522</v>
      </c>
      <c r="B142" s="255">
        <f t="shared" si="10"/>
        <v>0.68644385298619759</v>
      </c>
      <c r="C142" s="255">
        <f t="shared" si="10"/>
        <v>0.69827001055563531</v>
      </c>
      <c r="D142" s="255">
        <f t="shared" si="10"/>
        <v>0.70247676858218044</v>
      </c>
      <c r="E142" s="255">
        <f t="shared" si="10"/>
        <v>0.70084080469061683</v>
      </c>
      <c r="F142" s="255">
        <f t="shared" si="10"/>
        <v>0.71110304485384845</v>
      </c>
      <c r="G142" s="255">
        <f t="shared" si="10"/>
        <v>0.70929421163392858</v>
      </c>
      <c r="H142" s="255">
        <f t="shared" si="10"/>
        <v>0.69720475732038989</v>
      </c>
      <c r="I142" s="255">
        <f t="shared" si="10"/>
        <v>0.6947705426949895</v>
      </c>
      <c r="J142" s="255">
        <f t="shared" si="10"/>
        <v>0.69671896490281238</v>
      </c>
      <c r="K142" s="255">
        <f t="shared" si="10"/>
        <v>0.70304288109030011</v>
      </c>
      <c r="L142" s="255">
        <f t="shared" si="10"/>
        <v>0.68572222510788539</v>
      </c>
      <c r="M142" s="255">
        <f t="shared" si="10"/>
        <v>0.68989524099343036</v>
      </c>
      <c r="N142" s="255">
        <f t="shared" si="10"/>
        <v>0.67412925340928065</v>
      </c>
      <c r="O142" s="255">
        <f t="shared" si="10"/>
        <v>0.67447091094039124</v>
      </c>
      <c r="P142" s="255">
        <f t="shared" si="10"/>
        <v>0.69216078158437966</v>
      </c>
      <c r="Q142" s="255">
        <f t="shared" si="10"/>
        <v>0.67780856082089236</v>
      </c>
    </row>
    <row r="143" spans="1:17" ht="11.4" customHeight="1">
      <c r="A143" s="256" t="s">
        <v>542</v>
      </c>
      <c r="B143" s="257">
        <f t="shared" si="10"/>
        <v>8.0144274461895378E-3</v>
      </c>
      <c r="C143" s="257">
        <f t="shared" si="10"/>
        <v>8.2423734310012493E-3</v>
      </c>
      <c r="D143" s="257">
        <f t="shared" si="10"/>
        <v>8.6226292304788735E-3</v>
      </c>
      <c r="E143" s="257">
        <f t="shared" si="10"/>
        <v>8.8364978355533631E-3</v>
      </c>
      <c r="F143" s="257">
        <f t="shared" si="10"/>
        <v>9.0836509348029906E-3</v>
      </c>
      <c r="G143" s="257">
        <f t="shared" si="10"/>
        <v>9.4333564966589192E-3</v>
      </c>
      <c r="H143" s="257">
        <f t="shared" si="10"/>
        <v>9.4065181657793703E-3</v>
      </c>
      <c r="I143" s="257">
        <f t="shared" si="10"/>
        <v>8.1347791278468459E-3</v>
      </c>
      <c r="J143" s="257">
        <f t="shared" si="10"/>
        <v>8.4338594526710588E-3</v>
      </c>
      <c r="K143" s="257">
        <f t="shared" si="10"/>
        <v>8.7103439331088391E-3</v>
      </c>
      <c r="L143" s="257">
        <f t="shared" si="10"/>
        <v>8.5584795513234755E-3</v>
      </c>
      <c r="M143" s="257">
        <f t="shared" si="10"/>
        <v>8.7971691789488771E-3</v>
      </c>
      <c r="N143" s="257">
        <f t="shared" si="10"/>
        <v>8.7988208465524156E-3</v>
      </c>
      <c r="O143" s="257">
        <f t="shared" si="10"/>
        <v>8.9433994500342107E-3</v>
      </c>
      <c r="P143" s="257">
        <f t="shared" si="10"/>
        <v>9.1029313741935441E-3</v>
      </c>
      <c r="Q143" s="257">
        <f t="shared" si="10"/>
        <v>8.8927503160011849E-3</v>
      </c>
    </row>
    <row r="144" spans="1:17" ht="11.4" customHeight="1">
      <c r="A144" s="258" t="s">
        <v>525</v>
      </c>
      <c r="B144" s="259">
        <f t="shared" ref="B144:Q145" si="11">IF(B21=0,0,B21/B$17)</f>
        <v>0.64082604990395597</v>
      </c>
      <c r="C144" s="259">
        <f t="shared" si="11"/>
        <v>0.65237212206442929</v>
      </c>
      <c r="D144" s="259">
        <f t="shared" si="11"/>
        <v>0.65673717269251264</v>
      </c>
      <c r="E144" s="259">
        <f t="shared" si="11"/>
        <v>0.65344819234779616</v>
      </c>
      <c r="F144" s="259">
        <f t="shared" si="11"/>
        <v>0.66343151631965236</v>
      </c>
      <c r="G144" s="259">
        <f t="shared" si="11"/>
        <v>0.66097614298236629</v>
      </c>
      <c r="H144" s="259">
        <f t="shared" si="11"/>
        <v>0.64908821692516216</v>
      </c>
      <c r="I144" s="259">
        <f t="shared" si="11"/>
        <v>0.64986335285725128</v>
      </c>
      <c r="J144" s="259">
        <f t="shared" si="11"/>
        <v>0.65273014791832373</v>
      </c>
      <c r="K144" s="259">
        <f t="shared" si="11"/>
        <v>0.65958081421238746</v>
      </c>
      <c r="L144" s="259">
        <f t="shared" si="11"/>
        <v>0.64334410348022508</v>
      </c>
      <c r="M144" s="259">
        <f t="shared" si="11"/>
        <v>0.64815564859238184</v>
      </c>
      <c r="N144" s="259">
        <f t="shared" si="11"/>
        <v>0.63352059608719591</v>
      </c>
      <c r="O144" s="259">
        <f t="shared" si="11"/>
        <v>0.63406833609402713</v>
      </c>
      <c r="P144" s="259">
        <f t="shared" si="11"/>
        <v>0.6513464699712338</v>
      </c>
      <c r="Q144" s="259">
        <f t="shared" si="11"/>
        <v>0.63568952751613372</v>
      </c>
    </row>
    <row r="145" spans="1:17" ht="11.4" customHeight="1">
      <c r="A145" s="260" t="s">
        <v>526</v>
      </c>
      <c r="B145" s="261">
        <f t="shared" si="11"/>
        <v>0.52286914283775487</v>
      </c>
      <c r="C145" s="261">
        <f t="shared" si="11"/>
        <v>0.51783940074543522</v>
      </c>
      <c r="D145" s="261">
        <f t="shared" si="11"/>
        <v>0.50852685519304186</v>
      </c>
      <c r="E145" s="261">
        <f t="shared" si="11"/>
        <v>0.4863018688479161</v>
      </c>
      <c r="F145" s="261">
        <f t="shared" si="11"/>
        <v>0.46924783335826575</v>
      </c>
      <c r="G145" s="261">
        <f t="shared" si="11"/>
        <v>0.4512064835452157</v>
      </c>
      <c r="H145" s="261">
        <f t="shared" si="11"/>
        <v>0.42542125334156072</v>
      </c>
      <c r="I145" s="261">
        <f t="shared" si="11"/>
        <v>0.41204686099962606</v>
      </c>
      <c r="J145" s="261">
        <f t="shared" si="11"/>
        <v>0.40778625265680507</v>
      </c>
      <c r="K145" s="261">
        <f t="shared" si="11"/>
        <v>0.39639353787548276</v>
      </c>
      <c r="L145" s="261">
        <f t="shared" si="11"/>
        <v>0.37841685167074035</v>
      </c>
      <c r="M145" s="261">
        <f t="shared" si="11"/>
        <v>0.37296838779049768</v>
      </c>
      <c r="N145" s="261">
        <f t="shared" si="11"/>
        <v>0.35300178673675103</v>
      </c>
      <c r="O145" s="261">
        <f t="shared" si="11"/>
        <v>0.34428818853878723</v>
      </c>
      <c r="P145" s="261">
        <f t="shared" si="11"/>
        <v>0.33816396054845932</v>
      </c>
      <c r="Q145" s="261">
        <f t="shared" si="11"/>
        <v>0.32504317354633439</v>
      </c>
    </row>
    <row r="146" spans="1:17" ht="11.4" customHeight="1">
      <c r="A146" s="260" t="s">
        <v>527</v>
      </c>
      <c r="B146" s="261">
        <f t="shared" ref="B146:Q146" si="12">IF(B24=0,0,B24/B$17)</f>
        <v>0.11674622174499089</v>
      </c>
      <c r="C146" s="261">
        <f t="shared" si="12"/>
        <v>0.13331638170160037</v>
      </c>
      <c r="D146" s="261">
        <f t="shared" si="12"/>
        <v>0.14676304293638309</v>
      </c>
      <c r="E146" s="261">
        <f t="shared" si="12"/>
        <v>0.16558427659424035</v>
      </c>
      <c r="F146" s="261">
        <f t="shared" si="12"/>
        <v>0.1920975609843926</v>
      </c>
      <c r="G146" s="261">
        <f t="shared" si="12"/>
        <v>0.20658970961143402</v>
      </c>
      <c r="H146" s="261">
        <f t="shared" si="12"/>
        <v>0.21945960916925281</v>
      </c>
      <c r="I146" s="261">
        <f t="shared" si="12"/>
        <v>0.23155523731962058</v>
      </c>
      <c r="J146" s="261">
        <f t="shared" si="12"/>
        <v>0.23549123393314644</v>
      </c>
      <c r="K146" s="261">
        <f t="shared" si="12"/>
        <v>0.2488977462000303</v>
      </c>
      <c r="L146" s="261">
        <f t="shared" si="12"/>
        <v>0.25116725103370724</v>
      </c>
      <c r="M146" s="261">
        <f t="shared" si="12"/>
        <v>0.2607026797792546</v>
      </c>
      <c r="N146" s="261">
        <f t="shared" si="12"/>
        <v>0.26555178789267597</v>
      </c>
      <c r="O146" s="261">
        <f t="shared" si="12"/>
        <v>0.27512085779022399</v>
      </c>
      <c r="P146" s="261">
        <f t="shared" si="12"/>
        <v>0.29803006576804558</v>
      </c>
      <c r="Q146" s="261">
        <f t="shared" si="12"/>
        <v>0.29637831213461641</v>
      </c>
    </row>
    <row r="147" spans="1:17" ht="11.4" customHeight="1">
      <c r="A147" s="260" t="s">
        <v>528</v>
      </c>
      <c r="B147" s="261">
        <f t="shared" ref="B147:Q148" si="13">IF(B26=0,0,B26/B$17)</f>
        <v>1.210685321210155E-3</v>
      </c>
      <c r="C147" s="261">
        <f t="shared" si="13"/>
        <v>1.2163396173936185E-3</v>
      </c>
      <c r="D147" s="261">
        <f t="shared" si="13"/>
        <v>1.4472745630877352E-3</v>
      </c>
      <c r="E147" s="261">
        <f t="shared" si="13"/>
        <v>1.5620469056397146E-3</v>
      </c>
      <c r="F147" s="261">
        <f t="shared" si="13"/>
        <v>2.0861219769939886E-3</v>
      </c>
      <c r="G147" s="261">
        <f t="shared" si="13"/>
        <v>2.372055369933681E-3</v>
      </c>
      <c r="H147" s="261">
        <f t="shared" si="13"/>
        <v>3.3055045047982699E-3</v>
      </c>
      <c r="I147" s="261">
        <f t="shared" si="13"/>
        <v>5.3689852595481223E-3</v>
      </c>
      <c r="J147" s="261">
        <f t="shared" si="13"/>
        <v>8.5626448272210984E-3</v>
      </c>
      <c r="K147" s="261">
        <f t="shared" si="13"/>
        <v>1.2571014977985838E-2</v>
      </c>
      <c r="L147" s="261">
        <f t="shared" si="13"/>
        <v>1.2067554250467315E-2</v>
      </c>
      <c r="M147" s="261">
        <f t="shared" si="13"/>
        <v>1.213967221920904E-2</v>
      </c>
      <c r="N147" s="261">
        <f t="shared" si="13"/>
        <v>1.2147376564184952E-2</v>
      </c>
      <c r="O147" s="261">
        <f t="shared" si="13"/>
        <v>1.1587964368949379E-2</v>
      </c>
      <c r="P147" s="261">
        <f t="shared" si="13"/>
        <v>1.1965668790188469E-2</v>
      </c>
      <c r="Q147" s="261">
        <f t="shared" si="13"/>
        <v>1.1038551128275171E-2</v>
      </c>
    </row>
    <row r="148" spans="1:17" ht="11.4" customHeight="1">
      <c r="A148" s="260" t="s">
        <v>529</v>
      </c>
      <c r="B148" s="261">
        <f t="shared" si="13"/>
        <v>0</v>
      </c>
      <c r="C148" s="261">
        <f t="shared" si="13"/>
        <v>0</v>
      </c>
      <c r="D148" s="261">
        <f t="shared" si="13"/>
        <v>0</v>
      </c>
      <c r="E148" s="261">
        <f t="shared" si="13"/>
        <v>0</v>
      </c>
      <c r="F148" s="261">
        <f t="shared" si="13"/>
        <v>0</v>
      </c>
      <c r="G148" s="261">
        <f t="shared" si="13"/>
        <v>8.0789445578296841E-4</v>
      </c>
      <c r="H148" s="261">
        <f t="shared" si="13"/>
        <v>9.0167294758018626E-4</v>
      </c>
      <c r="I148" s="261">
        <f t="shared" si="13"/>
        <v>8.9202011088554715E-4</v>
      </c>
      <c r="J148" s="261">
        <f t="shared" si="13"/>
        <v>8.8031514091988893E-4</v>
      </c>
      <c r="K148" s="261">
        <f t="shared" si="13"/>
        <v>1.6987748537631386E-3</v>
      </c>
      <c r="L148" s="261">
        <f t="shared" si="13"/>
        <v>1.6686606164369887E-3</v>
      </c>
      <c r="M148" s="261">
        <f t="shared" si="13"/>
        <v>2.2962885069802838E-3</v>
      </c>
      <c r="N148" s="261">
        <f t="shared" si="13"/>
        <v>2.7407763773874562E-3</v>
      </c>
      <c r="O148" s="261">
        <f t="shared" si="13"/>
        <v>2.9290355600656553E-3</v>
      </c>
      <c r="P148" s="261">
        <f t="shared" si="13"/>
        <v>2.9456565987464305E-3</v>
      </c>
      <c r="Q148" s="261">
        <f t="shared" si="13"/>
        <v>2.8097556326560475E-3</v>
      </c>
    </row>
    <row r="149" spans="1:17" ht="11.4" customHeight="1">
      <c r="A149" s="260" t="s">
        <v>543</v>
      </c>
      <c r="B149" s="261">
        <f t="shared" ref="B149:Q149" si="14">IF(B29=0,0,B29/B$17)</f>
        <v>0</v>
      </c>
      <c r="C149" s="261">
        <f t="shared" si="14"/>
        <v>0</v>
      </c>
      <c r="D149" s="261">
        <f t="shared" si="14"/>
        <v>0</v>
      </c>
      <c r="E149" s="261">
        <f t="shared" si="14"/>
        <v>0</v>
      </c>
      <c r="F149" s="261">
        <f t="shared" si="14"/>
        <v>0</v>
      </c>
      <c r="G149" s="261">
        <f t="shared" si="14"/>
        <v>0</v>
      </c>
      <c r="H149" s="261">
        <f t="shared" si="14"/>
        <v>0</v>
      </c>
      <c r="I149" s="261">
        <f t="shared" si="14"/>
        <v>0</v>
      </c>
      <c r="J149" s="261">
        <f t="shared" si="14"/>
        <v>0</v>
      </c>
      <c r="K149" s="261">
        <f t="shared" si="14"/>
        <v>0</v>
      </c>
      <c r="L149" s="261">
        <f t="shared" si="14"/>
        <v>0</v>
      </c>
      <c r="M149" s="261">
        <f t="shared" si="14"/>
        <v>0</v>
      </c>
      <c r="N149" s="261">
        <f t="shared" si="14"/>
        <v>0</v>
      </c>
      <c r="O149" s="261">
        <f t="shared" si="14"/>
        <v>8.2883192424020713E-6</v>
      </c>
      <c r="P149" s="261">
        <f t="shared" si="14"/>
        <v>3.1653590431850523E-5</v>
      </c>
      <c r="Q149" s="261">
        <f t="shared" si="14"/>
        <v>9.4532622716299826E-5</v>
      </c>
    </row>
    <row r="150" spans="1:17" ht="11.4" customHeight="1">
      <c r="A150" s="260" t="s">
        <v>533</v>
      </c>
      <c r="B150" s="261">
        <f t="shared" ref="B150:Q152" si="15">IF(B32=0,0,B32/B$17)</f>
        <v>0</v>
      </c>
      <c r="C150" s="261">
        <f t="shared" si="15"/>
        <v>0</v>
      </c>
      <c r="D150" s="261">
        <f t="shared" si="15"/>
        <v>0</v>
      </c>
      <c r="E150" s="261">
        <f t="shared" si="15"/>
        <v>0</v>
      </c>
      <c r="F150" s="261">
        <f t="shared" si="15"/>
        <v>0</v>
      </c>
      <c r="G150" s="261">
        <f t="shared" si="15"/>
        <v>0</v>
      </c>
      <c r="H150" s="261">
        <f t="shared" si="15"/>
        <v>1.7696197020325661E-7</v>
      </c>
      <c r="I150" s="261">
        <f t="shared" si="15"/>
        <v>2.4916757099138279E-7</v>
      </c>
      <c r="J150" s="261">
        <f t="shared" si="15"/>
        <v>9.7013602312858112E-6</v>
      </c>
      <c r="K150" s="261">
        <f t="shared" si="15"/>
        <v>1.974030512534145E-5</v>
      </c>
      <c r="L150" s="261">
        <f t="shared" si="15"/>
        <v>2.378590887316984E-5</v>
      </c>
      <c r="M150" s="261">
        <f t="shared" si="15"/>
        <v>4.8620296440125545E-5</v>
      </c>
      <c r="N150" s="261">
        <f t="shared" si="15"/>
        <v>7.8868516196411737E-5</v>
      </c>
      <c r="O150" s="261">
        <f t="shared" si="15"/>
        <v>1.340015167584005E-4</v>
      </c>
      <c r="P150" s="261">
        <f t="shared" si="15"/>
        <v>2.0946467536229132E-4</v>
      </c>
      <c r="Q150" s="261">
        <f t="shared" si="15"/>
        <v>3.2520245153537156E-4</v>
      </c>
    </row>
    <row r="151" spans="1:17" ht="11.4" customHeight="1">
      <c r="A151" s="258" t="s">
        <v>534</v>
      </c>
      <c r="B151" s="259">
        <f t="shared" si="15"/>
        <v>3.7603375636052233E-2</v>
      </c>
      <c r="C151" s="259">
        <f t="shared" si="15"/>
        <v>3.7655515060204654E-2</v>
      </c>
      <c r="D151" s="259">
        <f t="shared" si="15"/>
        <v>3.7116966659188871E-2</v>
      </c>
      <c r="E151" s="259">
        <f t="shared" si="15"/>
        <v>3.855611450726721E-2</v>
      </c>
      <c r="F151" s="259">
        <f t="shared" si="15"/>
        <v>3.8587877599393167E-2</v>
      </c>
      <c r="G151" s="259">
        <f t="shared" si="15"/>
        <v>3.8884712154903203E-2</v>
      </c>
      <c r="H151" s="259">
        <f t="shared" si="15"/>
        <v>3.8710022229448429E-2</v>
      </c>
      <c r="I151" s="259">
        <f t="shared" si="15"/>
        <v>3.6772410709891276E-2</v>
      </c>
      <c r="J151" s="259">
        <f t="shared" si="15"/>
        <v>3.5554957531817553E-2</v>
      </c>
      <c r="K151" s="259">
        <f t="shared" si="15"/>
        <v>3.4751722944803755E-2</v>
      </c>
      <c r="L151" s="259">
        <f t="shared" si="15"/>
        <v>3.3819642076336899E-2</v>
      </c>
      <c r="M151" s="259">
        <f t="shared" si="15"/>
        <v>3.2942423222099684E-2</v>
      </c>
      <c r="N151" s="259">
        <f t="shared" si="15"/>
        <v>3.1809836475532281E-2</v>
      </c>
      <c r="O151" s="259">
        <f t="shared" si="15"/>
        <v>3.1459175396329885E-2</v>
      </c>
      <c r="P151" s="259">
        <f t="shared" si="15"/>
        <v>3.1711380238952293E-2</v>
      </c>
      <c r="Q151" s="259">
        <f t="shared" si="15"/>
        <v>3.3226282988757558E-2</v>
      </c>
    </row>
    <row r="152" spans="1:17" ht="11.4" customHeight="1">
      <c r="A152" s="260" t="s">
        <v>526</v>
      </c>
      <c r="B152" s="261">
        <f t="shared" si="15"/>
        <v>0</v>
      </c>
      <c r="C152" s="261">
        <f t="shared" si="15"/>
        <v>0</v>
      </c>
      <c r="D152" s="261">
        <f t="shared" si="15"/>
        <v>0</v>
      </c>
      <c r="E152" s="261">
        <f t="shared" si="15"/>
        <v>0</v>
      </c>
      <c r="F152" s="261">
        <f t="shared" si="15"/>
        <v>0</v>
      </c>
      <c r="G152" s="261">
        <f t="shared" si="15"/>
        <v>0</v>
      </c>
      <c r="H152" s="261">
        <f t="shared" si="15"/>
        <v>0</v>
      </c>
      <c r="I152" s="261">
        <f t="shared" si="15"/>
        <v>0</v>
      </c>
      <c r="J152" s="261">
        <f t="shared" si="15"/>
        <v>0</v>
      </c>
      <c r="K152" s="261">
        <f t="shared" si="15"/>
        <v>0</v>
      </c>
      <c r="L152" s="261">
        <f t="shared" si="15"/>
        <v>0</v>
      </c>
      <c r="M152" s="261">
        <f t="shared" si="15"/>
        <v>0</v>
      </c>
      <c r="N152" s="261">
        <f t="shared" si="15"/>
        <v>0</v>
      </c>
      <c r="O152" s="261">
        <f t="shared" si="15"/>
        <v>0</v>
      </c>
      <c r="P152" s="261">
        <f t="shared" si="15"/>
        <v>0</v>
      </c>
      <c r="Q152" s="261">
        <f t="shared" si="15"/>
        <v>0</v>
      </c>
    </row>
    <row r="153" spans="1:17" ht="11.4" customHeight="1">
      <c r="A153" s="260" t="s">
        <v>527</v>
      </c>
      <c r="B153" s="261">
        <f t="shared" ref="B153:Q153" si="16">IF(B36=0,0,B36/B$17)</f>
        <v>3.7253794447074808E-2</v>
      </c>
      <c r="C153" s="261">
        <f t="shared" si="16"/>
        <v>3.7177381176990459E-2</v>
      </c>
      <c r="D153" s="261">
        <f t="shared" si="16"/>
        <v>3.6490574313323011E-2</v>
      </c>
      <c r="E153" s="261">
        <f t="shared" si="16"/>
        <v>3.7754401913624246E-2</v>
      </c>
      <c r="F153" s="261">
        <f t="shared" si="16"/>
        <v>3.7558214141780642E-2</v>
      </c>
      <c r="G153" s="261">
        <f t="shared" si="16"/>
        <v>3.821220059229874E-2</v>
      </c>
      <c r="H153" s="261">
        <f t="shared" si="16"/>
        <v>3.7823228358794057E-2</v>
      </c>
      <c r="I153" s="261">
        <f t="shared" si="16"/>
        <v>3.5939059817331698E-2</v>
      </c>
      <c r="J153" s="261">
        <f t="shared" si="16"/>
        <v>3.4978851768778733E-2</v>
      </c>
      <c r="K153" s="261">
        <f t="shared" si="16"/>
        <v>3.4073882257486872E-2</v>
      </c>
      <c r="L153" s="261">
        <f t="shared" si="16"/>
        <v>3.311024394529842E-2</v>
      </c>
      <c r="M153" s="261">
        <f t="shared" si="16"/>
        <v>3.2294423796632304E-2</v>
      </c>
      <c r="N153" s="261">
        <f t="shared" si="16"/>
        <v>3.1120848490651887E-2</v>
      </c>
      <c r="O153" s="261">
        <f t="shared" si="16"/>
        <v>3.0697256122161294E-2</v>
      </c>
      <c r="P153" s="261">
        <f t="shared" si="16"/>
        <v>3.0949432592908055E-2</v>
      </c>
      <c r="Q153" s="261">
        <f t="shared" si="16"/>
        <v>3.2686585681223963E-2</v>
      </c>
    </row>
    <row r="154" spans="1:17" ht="11.4" customHeight="1">
      <c r="A154" s="260" t="s">
        <v>528</v>
      </c>
      <c r="B154" s="261">
        <f t="shared" ref="B154:Q155" si="17">IF(B38=0,0,B38/B$17)</f>
        <v>0</v>
      </c>
      <c r="C154" s="261">
        <f t="shared" si="17"/>
        <v>0</v>
      </c>
      <c r="D154" s="261">
        <f t="shared" si="17"/>
        <v>0</v>
      </c>
      <c r="E154" s="261">
        <f t="shared" si="17"/>
        <v>0</v>
      </c>
      <c r="F154" s="261">
        <f t="shared" si="17"/>
        <v>1.8084166061891776E-6</v>
      </c>
      <c r="G154" s="261">
        <f t="shared" si="17"/>
        <v>1.9057556121224074E-6</v>
      </c>
      <c r="H154" s="261">
        <f t="shared" si="17"/>
        <v>1.9455006125211607E-6</v>
      </c>
      <c r="I154" s="261">
        <f t="shared" si="17"/>
        <v>2.5391897594247663E-6</v>
      </c>
      <c r="J154" s="261">
        <f t="shared" si="17"/>
        <v>3.521438572848769E-6</v>
      </c>
      <c r="K154" s="261">
        <f t="shared" si="17"/>
        <v>4.6574914489599621E-6</v>
      </c>
      <c r="L154" s="261">
        <f t="shared" si="17"/>
        <v>5.0153310659815625E-6</v>
      </c>
      <c r="M154" s="261">
        <f t="shared" si="17"/>
        <v>4.8133262046567003E-6</v>
      </c>
      <c r="N154" s="261">
        <f t="shared" si="17"/>
        <v>4.733932814184623E-6</v>
      </c>
      <c r="O154" s="261">
        <f t="shared" si="17"/>
        <v>4.5334984763140416E-6</v>
      </c>
      <c r="P154" s="261">
        <f t="shared" si="17"/>
        <v>4.3739756654047523E-6</v>
      </c>
      <c r="Q154" s="261">
        <f t="shared" si="17"/>
        <v>4.4040841506957023E-6</v>
      </c>
    </row>
    <row r="155" spans="1:17" ht="11.4" customHeight="1">
      <c r="A155" s="260" t="s">
        <v>529</v>
      </c>
      <c r="B155" s="261">
        <f t="shared" si="17"/>
        <v>3.2502205991024328E-4</v>
      </c>
      <c r="C155" s="261">
        <f t="shared" si="17"/>
        <v>4.5010002772593552E-4</v>
      </c>
      <c r="D155" s="261">
        <f t="shared" si="17"/>
        <v>5.9367894243241861E-4</v>
      </c>
      <c r="E155" s="261">
        <f t="shared" si="17"/>
        <v>7.6966179221872014E-4</v>
      </c>
      <c r="F155" s="261">
        <f t="shared" si="17"/>
        <v>9.9865809178018776E-4</v>
      </c>
      <c r="G155" s="261">
        <f t="shared" si="17"/>
        <v>6.4268305413930102E-4</v>
      </c>
      <c r="H155" s="261">
        <f t="shared" si="17"/>
        <v>8.5965370792166263E-4</v>
      </c>
      <c r="I155" s="261">
        <f t="shared" si="17"/>
        <v>8.0701475200038839E-4</v>
      </c>
      <c r="J155" s="261">
        <f t="shared" si="17"/>
        <v>5.4844997175352021E-4</v>
      </c>
      <c r="K155" s="261">
        <f t="shared" si="17"/>
        <v>6.4856093793938562E-4</v>
      </c>
      <c r="L155" s="261">
        <f t="shared" si="17"/>
        <v>6.8121021673745743E-4</v>
      </c>
      <c r="M155" s="261">
        <f t="shared" si="17"/>
        <v>6.1929829621172171E-4</v>
      </c>
      <c r="N155" s="261">
        <f t="shared" si="17"/>
        <v>6.5997683822485286E-4</v>
      </c>
      <c r="O155" s="261">
        <f t="shared" si="17"/>
        <v>7.3288358402356436E-4</v>
      </c>
      <c r="P155" s="261">
        <f t="shared" si="17"/>
        <v>7.2993213050001388E-4</v>
      </c>
      <c r="Q155" s="261">
        <f t="shared" si="17"/>
        <v>5.0254937067857066E-4</v>
      </c>
    </row>
    <row r="156" spans="1:17" ht="11.4" customHeight="1">
      <c r="A156" s="260" t="s">
        <v>533</v>
      </c>
      <c r="B156" s="261">
        <f t="shared" ref="B156:Q159" si="18">IF(B41=0,0,B41/B$17)</f>
        <v>2.4559129067187828E-5</v>
      </c>
      <c r="C156" s="261">
        <f t="shared" si="18"/>
        <v>2.8033855488259924E-5</v>
      </c>
      <c r="D156" s="261">
        <f t="shared" si="18"/>
        <v>3.2713403433441517E-5</v>
      </c>
      <c r="E156" s="261">
        <f t="shared" si="18"/>
        <v>3.2050801424247359E-5</v>
      </c>
      <c r="F156" s="261">
        <f t="shared" si="18"/>
        <v>2.9196949226147669E-5</v>
      </c>
      <c r="G156" s="261">
        <f t="shared" si="18"/>
        <v>2.7922752853038931E-5</v>
      </c>
      <c r="H156" s="261">
        <f t="shared" si="18"/>
        <v>2.5194662120191824E-5</v>
      </c>
      <c r="I156" s="261">
        <f t="shared" si="18"/>
        <v>2.3796950799769589E-5</v>
      </c>
      <c r="J156" s="261">
        <f t="shared" si="18"/>
        <v>2.4134352712454404E-5</v>
      </c>
      <c r="K156" s="261">
        <f t="shared" si="18"/>
        <v>2.4622257928540216E-5</v>
      </c>
      <c r="L156" s="261">
        <f t="shared" si="18"/>
        <v>2.3172583235044222E-5</v>
      </c>
      <c r="M156" s="261">
        <f t="shared" si="18"/>
        <v>2.3887803050998783E-5</v>
      </c>
      <c r="N156" s="261">
        <f t="shared" si="18"/>
        <v>2.42772138413557E-5</v>
      </c>
      <c r="O156" s="261">
        <f t="shared" si="18"/>
        <v>2.45021916687069E-5</v>
      </c>
      <c r="P156" s="261">
        <f t="shared" si="18"/>
        <v>2.7641539878818902E-5</v>
      </c>
      <c r="Q156" s="261">
        <f t="shared" si="18"/>
        <v>3.2743852704328528E-5</v>
      </c>
    </row>
    <row r="157" spans="1:17" ht="11.4" customHeight="1">
      <c r="A157" s="227" t="s">
        <v>535</v>
      </c>
      <c r="B157" s="255">
        <f t="shared" si="18"/>
        <v>0.31355614701380236</v>
      </c>
      <c r="C157" s="255">
        <f t="shared" si="18"/>
        <v>0.30172998944436474</v>
      </c>
      <c r="D157" s="255">
        <f t="shared" si="18"/>
        <v>0.29752323141781956</v>
      </c>
      <c r="E157" s="255">
        <f t="shared" si="18"/>
        <v>0.29915919530938323</v>
      </c>
      <c r="F157" s="255">
        <f t="shared" si="18"/>
        <v>0.28889695514615144</v>
      </c>
      <c r="G157" s="255">
        <f t="shared" si="18"/>
        <v>0.29070578836607147</v>
      </c>
      <c r="H157" s="255">
        <f t="shared" si="18"/>
        <v>0.30279524267961011</v>
      </c>
      <c r="I157" s="255">
        <f t="shared" si="18"/>
        <v>0.3052294573050105</v>
      </c>
      <c r="J157" s="255">
        <f t="shared" si="18"/>
        <v>0.30328103509718751</v>
      </c>
      <c r="K157" s="255">
        <f t="shared" si="18"/>
        <v>0.29695711890969989</v>
      </c>
      <c r="L157" s="255">
        <f t="shared" si="18"/>
        <v>0.31427777489211461</v>
      </c>
      <c r="M157" s="255">
        <f t="shared" si="18"/>
        <v>0.3101047590065697</v>
      </c>
      <c r="N157" s="255">
        <f t="shared" si="18"/>
        <v>0.32587074659071935</v>
      </c>
      <c r="O157" s="255">
        <f t="shared" si="18"/>
        <v>0.32552908905960881</v>
      </c>
      <c r="P157" s="255">
        <f t="shared" si="18"/>
        <v>0.30783921841562045</v>
      </c>
      <c r="Q157" s="255">
        <f t="shared" si="18"/>
        <v>0.32219143917910764</v>
      </c>
    </row>
    <row r="158" spans="1:17" ht="11.4" customHeight="1">
      <c r="A158" s="256" t="s">
        <v>536</v>
      </c>
      <c r="B158" s="257">
        <f t="shared" si="18"/>
        <v>3.8679376143903731E-2</v>
      </c>
      <c r="C158" s="257">
        <f t="shared" si="18"/>
        <v>4.0780640405840715E-2</v>
      </c>
      <c r="D158" s="257">
        <f t="shared" si="18"/>
        <v>4.2873539454241584E-2</v>
      </c>
      <c r="E158" s="257">
        <f t="shared" si="18"/>
        <v>4.46955701508139E-2</v>
      </c>
      <c r="F158" s="257">
        <f t="shared" si="18"/>
        <v>4.533291507357317E-2</v>
      </c>
      <c r="G158" s="257">
        <f t="shared" si="18"/>
        <v>4.8145803291456263E-2</v>
      </c>
      <c r="H158" s="257">
        <f t="shared" si="18"/>
        <v>4.8705498309180535E-2</v>
      </c>
      <c r="I158" s="257">
        <f t="shared" si="18"/>
        <v>5.0786342965161095E-2</v>
      </c>
      <c r="J158" s="257">
        <f t="shared" si="18"/>
        <v>5.029433590708305E-2</v>
      </c>
      <c r="K158" s="257">
        <f t="shared" si="18"/>
        <v>5.0109429840645946E-2</v>
      </c>
      <c r="L158" s="257">
        <f t="shared" si="18"/>
        <v>4.8516021437983212E-2</v>
      </c>
      <c r="M158" s="257">
        <f t="shared" si="18"/>
        <v>4.8662520140089156E-2</v>
      </c>
      <c r="N158" s="257">
        <f t="shared" si="18"/>
        <v>4.7909227925645587E-2</v>
      </c>
      <c r="O158" s="257">
        <f t="shared" si="18"/>
        <v>4.7724214032545495E-2</v>
      </c>
      <c r="P158" s="257">
        <f t="shared" si="18"/>
        <v>4.7734147972619233E-2</v>
      </c>
      <c r="Q158" s="257">
        <f t="shared" si="18"/>
        <v>4.8237266624648091E-2</v>
      </c>
    </row>
    <row r="159" spans="1:17" ht="11.4" customHeight="1">
      <c r="A159" s="260" t="s">
        <v>526</v>
      </c>
      <c r="B159" s="261">
        <f t="shared" si="18"/>
        <v>5.4097632189233462E-3</v>
      </c>
      <c r="C159" s="261">
        <f t="shared" si="18"/>
        <v>5.1825046080007618E-3</v>
      </c>
      <c r="D159" s="261">
        <f t="shared" si="18"/>
        <v>4.9884226478504705E-3</v>
      </c>
      <c r="E159" s="261">
        <f t="shared" si="18"/>
        <v>4.731592858340081E-3</v>
      </c>
      <c r="F159" s="261">
        <f t="shared" si="18"/>
        <v>4.3306948702785189E-3</v>
      </c>
      <c r="G159" s="261">
        <f t="shared" si="18"/>
        <v>4.0926137330708108E-3</v>
      </c>
      <c r="H159" s="261">
        <f t="shared" si="18"/>
        <v>3.6029496753771546E-3</v>
      </c>
      <c r="I159" s="261">
        <f t="shared" si="18"/>
        <v>3.5289602946156698E-3</v>
      </c>
      <c r="J159" s="261">
        <f t="shared" si="18"/>
        <v>3.1402762777569143E-3</v>
      </c>
      <c r="K159" s="261">
        <f t="shared" si="18"/>
        <v>2.9633865300414653E-3</v>
      </c>
      <c r="L159" s="261">
        <f t="shared" si="18"/>
        <v>2.7156505018379015E-3</v>
      </c>
      <c r="M159" s="261">
        <f t="shared" si="18"/>
        <v>2.5683468126640814E-3</v>
      </c>
      <c r="N159" s="261">
        <f t="shared" si="18"/>
        <v>2.3645796229788047E-3</v>
      </c>
      <c r="O159" s="261">
        <f t="shared" si="18"/>
        <v>2.2376390769060658E-3</v>
      </c>
      <c r="P159" s="261">
        <f t="shared" si="18"/>
        <v>2.1543377738771036E-3</v>
      </c>
      <c r="Q159" s="261">
        <f t="shared" si="18"/>
        <v>2.1033970130190796E-3</v>
      </c>
    </row>
    <row r="160" spans="1:17" ht="11.4" customHeight="1">
      <c r="A160" s="260" t="s">
        <v>527</v>
      </c>
      <c r="B160" s="261">
        <f t="shared" ref="B160:Q160" si="19">IF(B46=0,0,B46/B$17)</f>
        <v>3.3260692628817652E-2</v>
      </c>
      <c r="C160" s="261">
        <f t="shared" si="19"/>
        <v>3.5589133526459676E-2</v>
      </c>
      <c r="D160" s="261">
        <f t="shared" si="19"/>
        <v>3.7876339182860083E-2</v>
      </c>
      <c r="E160" s="261">
        <f t="shared" si="19"/>
        <v>3.995537643398054E-2</v>
      </c>
      <c r="F160" s="261">
        <f t="shared" si="19"/>
        <v>4.0994021464992134E-2</v>
      </c>
      <c r="G160" s="261">
        <f t="shared" si="19"/>
        <v>4.4045336737311383E-2</v>
      </c>
      <c r="H160" s="261">
        <f t="shared" si="19"/>
        <v>4.477838035465511E-2</v>
      </c>
      <c r="I160" s="261">
        <f t="shared" si="19"/>
        <v>4.6777458700087024E-2</v>
      </c>
      <c r="J160" s="261">
        <f t="shared" si="19"/>
        <v>4.6494907781639797E-2</v>
      </c>
      <c r="K160" s="261">
        <f t="shared" si="19"/>
        <v>4.6313558925456494E-2</v>
      </c>
      <c r="L160" s="261">
        <f t="shared" si="19"/>
        <v>4.4882351070952606E-2</v>
      </c>
      <c r="M160" s="261">
        <f t="shared" si="19"/>
        <v>4.515028989115432E-2</v>
      </c>
      <c r="N160" s="261">
        <f t="shared" si="19"/>
        <v>4.457374958590242E-2</v>
      </c>
      <c r="O160" s="261">
        <f t="shared" si="19"/>
        <v>4.4561086340501974E-2</v>
      </c>
      <c r="P160" s="261">
        <f t="shared" si="19"/>
        <v>4.4659528181942194E-2</v>
      </c>
      <c r="Q160" s="261">
        <f t="shared" si="19"/>
        <v>4.5231169206353332E-2</v>
      </c>
    </row>
    <row r="161" spans="1:17" ht="11.4" customHeight="1">
      <c r="A161" s="260" t="s">
        <v>528</v>
      </c>
      <c r="B161" s="261">
        <f t="shared" ref="B161:Q162" si="20">IF(B48=0,0,B48/B$17)</f>
        <v>0</v>
      </c>
      <c r="C161" s="261">
        <f t="shared" si="20"/>
        <v>0</v>
      </c>
      <c r="D161" s="261">
        <f t="shared" si="20"/>
        <v>0</v>
      </c>
      <c r="E161" s="261">
        <f t="shared" si="20"/>
        <v>0</v>
      </c>
      <c r="F161" s="261">
        <f t="shared" si="20"/>
        <v>0</v>
      </c>
      <c r="G161" s="261">
        <f t="shared" si="20"/>
        <v>0</v>
      </c>
      <c r="H161" s="261">
        <f t="shared" si="20"/>
        <v>5.2954939546477316E-5</v>
      </c>
      <c r="I161" s="261">
        <f t="shared" si="20"/>
        <v>8.1334420402998713E-5</v>
      </c>
      <c r="J161" s="261">
        <f t="shared" si="20"/>
        <v>1.5741525346277941E-4</v>
      </c>
      <c r="K161" s="261">
        <f t="shared" si="20"/>
        <v>2.0272252777999957E-4</v>
      </c>
      <c r="L161" s="261">
        <f t="shared" si="20"/>
        <v>2.2861850429830213E-4</v>
      </c>
      <c r="M161" s="261">
        <f t="shared" si="20"/>
        <v>2.5476502792738594E-4</v>
      </c>
      <c r="N161" s="261">
        <f t="shared" si="20"/>
        <v>2.8804165257311783E-4</v>
      </c>
      <c r="O161" s="261">
        <f t="shared" si="20"/>
        <v>2.666632498778215E-4</v>
      </c>
      <c r="P161" s="261">
        <f t="shared" si="20"/>
        <v>2.5281586724878969E-4</v>
      </c>
      <c r="Q161" s="261">
        <f t="shared" si="20"/>
        <v>2.5124007026825125E-4</v>
      </c>
    </row>
    <row r="162" spans="1:17" ht="11.4" customHeight="1">
      <c r="A162" s="260" t="s">
        <v>529</v>
      </c>
      <c r="B162" s="261">
        <f t="shared" si="20"/>
        <v>0</v>
      </c>
      <c r="C162" s="261">
        <f t="shared" si="20"/>
        <v>0</v>
      </c>
      <c r="D162" s="261">
        <f t="shared" si="20"/>
        <v>0</v>
      </c>
      <c r="E162" s="261">
        <f t="shared" si="20"/>
        <v>0</v>
      </c>
      <c r="F162" s="261">
        <f t="shared" si="20"/>
        <v>0</v>
      </c>
      <c r="G162" s="261">
        <f t="shared" si="20"/>
        <v>0</v>
      </c>
      <c r="H162" s="261">
        <f t="shared" si="20"/>
        <v>2.6420867515527158E-4</v>
      </c>
      <c r="I162" s="261">
        <f t="shared" si="20"/>
        <v>3.9233903760338309E-4</v>
      </c>
      <c r="J162" s="261">
        <f t="shared" si="20"/>
        <v>4.9520338736908445E-4</v>
      </c>
      <c r="K162" s="261">
        <f t="shared" si="20"/>
        <v>6.2255317720185028E-4</v>
      </c>
      <c r="L162" s="261">
        <f t="shared" si="20"/>
        <v>6.7997527491742333E-4</v>
      </c>
      <c r="M162" s="261">
        <f t="shared" si="20"/>
        <v>6.7630375201846536E-4</v>
      </c>
      <c r="N162" s="261">
        <f t="shared" si="20"/>
        <v>6.6012814914709111E-4</v>
      </c>
      <c r="O162" s="261">
        <f t="shared" si="20"/>
        <v>6.3325967065222392E-4</v>
      </c>
      <c r="P162" s="261">
        <f t="shared" si="20"/>
        <v>6.3740600565131598E-4</v>
      </c>
      <c r="Q162" s="261">
        <f t="shared" si="20"/>
        <v>6.1208364458743782E-4</v>
      </c>
    </row>
    <row r="163" spans="1:17" ht="11.4" customHeight="1">
      <c r="A163" s="260" t="s">
        <v>533</v>
      </c>
      <c r="B163" s="261">
        <f t="shared" ref="B163:Q165" si="21">IF(B51=0,0,B51/B$17)</f>
        <v>8.9202961627256161E-6</v>
      </c>
      <c r="C163" s="261">
        <f t="shared" si="21"/>
        <v>9.0022713802782106E-6</v>
      </c>
      <c r="D163" s="261">
        <f t="shared" si="21"/>
        <v>8.7776235310392493E-6</v>
      </c>
      <c r="E163" s="261">
        <f t="shared" si="21"/>
        <v>8.6008584932785284E-6</v>
      </c>
      <c r="F163" s="261">
        <f t="shared" si="21"/>
        <v>8.1987383025162727E-6</v>
      </c>
      <c r="G163" s="261">
        <f t="shared" si="21"/>
        <v>7.8528210740661529E-6</v>
      </c>
      <c r="H163" s="261">
        <f t="shared" si="21"/>
        <v>7.004664446525567E-6</v>
      </c>
      <c r="I163" s="261">
        <f t="shared" si="21"/>
        <v>6.2505124520231236E-6</v>
      </c>
      <c r="J163" s="261">
        <f t="shared" si="21"/>
        <v>6.5332068544806853E-6</v>
      </c>
      <c r="K163" s="261">
        <f t="shared" si="21"/>
        <v>7.2086801661399438E-6</v>
      </c>
      <c r="L163" s="261">
        <f t="shared" si="21"/>
        <v>9.4260859769730818E-6</v>
      </c>
      <c r="M163" s="261">
        <f t="shared" si="21"/>
        <v>1.2814656324899567E-5</v>
      </c>
      <c r="N163" s="261">
        <f t="shared" si="21"/>
        <v>2.2728915044148133E-5</v>
      </c>
      <c r="O163" s="261">
        <f t="shared" si="21"/>
        <v>2.5565694607414443E-5</v>
      </c>
      <c r="P163" s="261">
        <f t="shared" si="21"/>
        <v>3.0060143899812571E-5</v>
      </c>
      <c r="Q163" s="261">
        <f t="shared" si="21"/>
        <v>3.9376690419983517E-5</v>
      </c>
    </row>
    <row r="164" spans="1:17" ht="11.4" customHeight="1">
      <c r="A164" s="258" t="s">
        <v>544</v>
      </c>
      <c r="B164" s="259">
        <f t="shared" si="21"/>
        <v>0.27487677086989865</v>
      </c>
      <c r="C164" s="259">
        <f t="shared" si="21"/>
        <v>0.26094934903852401</v>
      </c>
      <c r="D164" s="259">
        <f t="shared" si="21"/>
        <v>0.25464969196357795</v>
      </c>
      <c r="E164" s="259">
        <f t="shared" si="21"/>
        <v>0.2544636251585693</v>
      </c>
      <c r="F164" s="259">
        <f t="shared" si="21"/>
        <v>0.24356404007257829</v>
      </c>
      <c r="G164" s="259">
        <f t="shared" si="21"/>
        <v>0.24255998507461518</v>
      </c>
      <c r="H164" s="259">
        <f t="shared" si="21"/>
        <v>0.25408974437042958</v>
      </c>
      <c r="I164" s="259">
        <f t="shared" si="21"/>
        <v>0.2544431143398494</v>
      </c>
      <c r="J164" s="259">
        <f t="shared" si="21"/>
        <v>0.25298669919010447</v>
      </c>
      <c r="K164" s="259">
        <f t="shared" si="21"/>
        <v>0.24684768906905394</v>
      </c>
      <c r="L164" s="259">
        <f t="shared" si="21"/>
        <v>0.26576175345413139</v>
      </c>
      <c r="M164" s="259">
        <f t="shared" si="21"/>
        <v>0.26144223886648055</v>
      </c>
      <c r="N164" s="259">
        <f t="shared" si="21"/>
        <v>0.27796151866507379</v>
      </c>
      <c r="O164" s="259">
        <f t="shared" si="21"/>
        <v>0.27780487502706336</v>
      </c>
      <c r="P164" s="259">
        <f t="shared" si="21"/>
        <v>0.26010507044300119</v>
      </c>
      <c r="Q164" s="259">
        <f t="shared" si="21"/>
        <v>0.27395417255445953</v>
      </c>
    </row>
    <row r="165" spans="1:17" ht="11.4" customHeight="1">
      <c r="A165" s="262" t="s">
        <v>538</v>
      </c>
      <c r="B165" s="263">
        <f t="shared" si="21"/>
        <v>0.19551179901984975</v>
      </c>
      <c r="C165" s="263">
        <f t="shared" si="21"/>
        <v>0.19656218302564415</v>
      </c>
      <c r="D165" s="263">
        <f t="shared" si="21"/>
        <v>0.19006449344541684</v>
      </c>
      <c r="E165" s="263">
        <f t="shared" si="21"/>
        <v>0.19435637581151277</v>
      </c>
      <c r="F165" s="263">
        <f t="shared" si="21"/>
        <v>0.19370844754671401</v>
      </c>
      <c r="G165" s="263">
        <f t="shared" si="21"/>
        <v>0.19841297200954391</v>
      </c>
      <c r="H165" s="263">
        <f t="shared" si="21"/>
        <v>0.20396197013344769</v>
      </c>
      <c r="I165" s="263">
        <f t="shared" si="21"/>
        <v>0.2141881818415399</v>
      </c>
      <c r="J165" s="263">
        <f t="shared" si="21"/>
        <v>0.21994828890123508</v>
      </c>
      <c r="K165" s="263">
        <f t="shared" si="21"/>
        <v>0.21007467763769633</v>
      </c>
      <c r="L165" s="263">
        <f t="shared" si="21"/>
        <v>0.21171995690221429</v>
      </c>
      <c r="M165" s="263">
        <f t="shared" si="21"/>
        <v>0.21697769303579031</v>
      </c>
      <c r="N165" s="263">
        <f t="shared" si="21"/>
        <v>0.21369215053829907</v>
      </c>
      <c r="O165" s="263">
        <f t="shared" si="21"/>
        <v>0.20994498763231104</v>
      </c>
      <c r="P165" s="263">
        <f t="shared" si="21"/>
        <v>0.20779608130384</v>
      </c>
      <c r="Q165" s="263">
        <f t="shared" si="21"/>
        <v>0.21442126927162725</v>
      </c>
    </row>
    <row r="166" spans="1:17" ht="11.4" customHeight="1">
      <c r="A166" s="264" t="s">
        <v>539</v>
      </c>
      <c r="B166" s="265">
        <f t="shared" ref="B166:Q166" si="22">IF(B55=0,0,B55/B$17)</f>
        <v>7.9364971850048913E-2</v>
      </c>
      <c r="C166" s="265">
        <f t="shared" si="22"/>
        <v>6.4387166012879887E-2</v>
      </c>
      <c r="D166" s="265">
        <f t="shared" si="22"/>
        <v>6.458519851816108E-2</v>
      </c>
      <c r="E166" s="265">
        <f t="shared" si="22"/>
        <v>6.0107249347056572E-2</v>
      </c>
      <c r="F166" s="265">
        <f t="shared" si="22"/>
        <v>4.9855592525864252E-2</v>
      </c>
      <c r="G166" s="265">
        <f t="shared" si="22"/>
        <v>4.4147013065071281E-2</v>
      </c>
      <c r="H166" s="265">
        <f t="shared" si="22"/>
        <v>5.0127774236981885E-2</v>
      </c>
      <c r="I166" s="265">
        <f t="shared" si="22"/>
        <v>4.0254932498309519E-2</v>
      </c>
      <c r="J166" s="265">
        <f t="shared" si="22"/>
        <v>3.3038410288869391E-2</v>
      </c>
      <c r="K166" s="265">
        <f t="shared" si="22"/>
        <v>3.6773011431357583E-2</v>
      </c>
      <c r="L166" s="265">
        <f t="shared" si="22"/>
        <v>5.4041796551917105E-2</v>
      </c>
      <c r="M166" s="265">
        <f t="shared" si="22"/>
        <v>4.4464545830690282E-2</v>
      </c>
      <c r="N166" s="265">
        <f t="shared" si="22"/>
        <v>6.4269368126774709E-2</v>
      </c>
      <c r="O166" s="265">
        <f t="shared" si="22"/>
        <v>6.7859887394752294E-2</v>
      </c>
      <c r="P166" s="265">
        <f t="shared" si="22"/>
        <v>5.2308989139161197E-2</v>
      </c>
      <c r="Q166" s="265">
        <f t="shared" si="22"/>
        <v>5.9532903282832242E-2</v>
      </c>
    </row>
  </sheetData>
  <pageMargins left="0.39370078740157483" right="0.39370078740157483" top="0.39370078740157483" bottom="0.39370078740157483" header="0.31496062992125984" footer="0.31496062992125984"/>
  <pageSetup paperSize="9" scale="42" orientation="portrait" r:id="rId1"/>
  <headerFooter alignWithMargins="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Q166"/>
  <sheetViews>
    <sheetView showGridLines="0" zoomScaleNormal="100" workbookViewId="0">
      <pane xSplit="1" ySplit="1" topLeftCell="B137" activePane="bottomRight" state="frozen"/>
      <selection activeCell="D1" sqref="D1"/>
      <selection pane="topRight" activeCell="D1" sqref="D1"/>
      <selection pane="bottomLeft" activeCell="D1" sqref="D1"/>
      <selection pane="bottomRight" activeCell="B32" sqref="B32"/>
    </sheetView>
  </sheetViews>
  <sheetFormatPr defaultColWidth="9.109375" defaultRowHeight="11.4" customHeight="1"/>
  <cols>
    <col min="1" max="1" width="50.6640625" style="214" customWidth="1"/>
    <col min="2" max="17" width="10.6640625" style="266" customWidth="1"/>
    <col min="18" max="16384" width="9.109375" style="214"/>
  </cols>
  <sheetData>
    <row r="1" spans="1:17" ht="13.5" customHeight="1">
      <c r="A1" s="212" t="s">
        <v>556</v>
      </c>
      <c r="B1" s="213">
        <v>2000</v>
      </c>
      <c r="C1" s="213">
        <v>2001</v>
      </c>
      <c r="D1" s="213">
        <v>2002</v>
      </c>
      <c r="E1" s="213">
        <v>2003</v>
      </c>
      <c r="F1" s="213">
        <v>2004</v>
      </c>
      <c r="G1" s="213">
        <v>2005</v>
      </c>
      <c r="H1" s="213">
        <v>2006</v>
      </c>
      <c r="I1" s="213">
        <v>2007</v>
      </c>
      <c r="J1" s="213">
        <v>2008</v>
      </c>
      <c r="K1" s="213">
        <v>2009</v>
      </c>
      <c r="L1" s="213">
        <v>2010</v>
      </c>
      <c r="M1" s="213">
        <v>2011</v>
      </c>
      <c r="N1" s="213">
        <v>2012</v>
      </c>
      <c r="O1" s="213">
        <v>2013</v>
      </c>
      <c r="P1" s="213">
        <v>2014</v>
      </c>
      <c r="Q1" s="213">
        <v>2015</v>
      </c>
    </row>
    <row r="2" spans="1:17" ht="11.4" customHeight="1">
      <c r="A2" s="215"/>
      <c r="B2" s="216"/>
      <c r="C2" s="216"/>
      <c r="D2" s="216"/>
      <c r="E2" s="216"/>
      <c r="F2" s="216"/>
      <c r="G2" s="216"/>
      <c r="H2" s="216"/>
      <c r="I2" s="216"/>
      <c r="J2" s="216"/>
      <c r="K2" s="216"/>
      <c r="L2" s="216"/>
      <c r="M2" s="216"/>
      <c r="N2" s="216"/>
      <c r="O2" s="216"/>
      <c r="P2" s="216"/>
      <c r="Q2" s="216"/>
    </row>
    <row r="3" spans="1:17" ht="11.4" customHeight="1">
      <c r="A3" s="217" t="s">
        <v>508</v>
      </c>
      <c r="B3" s="218"/>
      <c r="C3" s="218"/>
      <c r="D3" s="218"/>
      <c r="E3" s="218"/>
      <c r="F3" s="218"/>
      <c r="G3" s="218"/>
      <c r="H3" s="218"/>
      <c r="I3" s="218"/>
      <c r="J3" s="218"/>
      <c r="K3" s="218"/>
      <c r="L3" s="218"/>
      <c r="M3" s="218"/>
      <c r="N3" s="218"/>
      <c r="O3" s="218"/>
      <c r="P3" s="218"/>
      <c r="Q3" s="218"/>
    </row>
    <row r="4" spans="1:17" ht="11.4" customHeight="1">
      <c r="A4" s="219" t="s">
        <v>509</v>
      </c>
      <c r="B4" s="220">
        <f>B5+B9+B10+B15</f>
        <v>283703.00985462399</v>
      </c>
      <c r="C4" s="220">
        <f t="shared" ref="C4:Q4" si="0">C5+C9+C10+C15</f>
        <v>287959.64164807176</v>
      </c>
      <c r="D4" s="220">
        <f t="shared" si="0"/>
        <v>291717.34483215434</v>
      </c>
      <c r="E4" s="220">
        <f t="shared" si="0"/>
        <v>294369.49961069936</v>
      </c>
      <c r="F4" s="220">
        <f t="shared" si="0"/>
        <v>300782.27737279149</v>
      </c>
      <c r="G4" s="220">
        <f t="shared" si="0"/>
        <v>301678.20224543789</v>
      </c>
      <c r="H4" s="220">
        <f t="shared" si="0"/>
        <v>307726.66008701117</v>
      </c>
      <c r="I4" s="220">
        <f t="shared" si="0"/>
        <v>312559.20776382159</v>
      </c>
      <c r="J4" s="220">
        <f t="shared" si="0"/>
        <v>307602.83665923466</v>
      </c>
      <c r="K4" s="220">
        <f t="shared" si="0"/>
        <v>300598.77654158522</v>
      </c>
      <c r="L4" s="220">
        <f t="shared" si="0"/>
        <v>299483.59796602308</v>
      </c>
      <c r="M4" s="220">
        <f t="shared" si="0"/>
        <v>296513.45426752366</v>
      </c>
      <c r="N4" s="220">
        <f t="shared" si="0"/>
        <v>287633.86106735514</v>
      </c>
      <c r="O4" s="220">
        <f t="shared" si="0"/>
        <v>284875.27509270544</v>
      </c>
      <c r="P4" s="220">
        <f t="shared" si="0"/>
        <v>290041.62867529714</v>
      </c>
      <c r="Q4" s="220">
        <f t="shared" si="0"/>
        <v>293976.74779517431</v>
      </c>
    </row>
    <row r="5" spans="1:17" ht="11.4" customHeight="1">
      <c r="A5" s="221" t="s">
        <v>510</v>
      </c>
      <c r="B5" s="222">
        <f>SUM(B6:B8)</f>
        <v>282589.88327801583</v>
      </c>
      <c r="C5" s="222">
        <f t="shared" ref="C5:Q5" si="1">SUM(C6:C8)</f>
        <v>286635.29015999998</v>
      </c>
      <c r="D5" s="222">
        <f t="shared" si="1"/>
        <v>290114.74239999993</v>
      </c>
      <c r="E5" s="222">
        <f t="shared" si="1"/>
        <v>292409.28744000004</v>
      </c>
      <c r="F5" s="222">
        <f t="shared" si="1"/>
        <v>298285.84503999999</v>
      </c>
      <c r="G5" s="222">
        <f t="shared" si="1"/>
        <v>297830.63127224572</v>
      </c>
      <c r="H5" s="222">
        <f t="shared" si="1"/>
        <v>301583.02655000001</v>
      </c>
      <c r="I5" s="222">
        <f t="shared" si="1"/>
        <v>304109.08999999997</v>
      </c>
      <c r="J5" s="222">
        <f t="shared" si="1"/>
        <v>296914.30147000006</v>
      </c>
      <c r="K5" s="222">
        <f t="shared" si="1"/>
        <v>287966.18694000004</v>
      </c>
      <c r="L5" s="222">
        <f t="shared" si="1"/>
        <v>285141.84788623138</v>
      </c>
      <c r="M5" s="222">
        <f t="shared" si="1"/>
        <v>281554.91303704283</v>
      </c>
      <c r="N5" s="222">
        <f t="shared" si="1"/>
        <v>271842.15421143413</v>
      </c>
      <c r="O5" s="222">
        <f t="shared" si="1"/>
        <v>270256.55441684299</v>
      </c>
      <c r="P5" s="222">
        <f t="shared" si="1"/>
        <v>274238.19554562157</v>
      </c>
      <c r="Q5" s="222">
        <f t="shared" si="1"/>
        <v>277876.38408937975</v>
      </c>
    </row>
    <row r="6" spans="1:17" ht="11.4" customHeight="1">
      <c r="A6" s="223" t="s">
        <v>511</v>
      </c>
      <c r="B6" s="222">
        <v>3652.5303564705246</v>
      </c>
      <c r="C6" s="222">
        <v>3871.5548299999996</v>
      </c>
      <c r="D6" s="222">
        <v>4129.3126899999997</v>
      </c>
      <c r="E6" s="222">
        <v>4291.58835</v>
      </c>
      <c r="F6" s="222">
        <v>4632.1130300000013</v>
      </c>
      <c r="G6" s="222">
        <v>4775.0770775595311</v>
      </c>
      <c r="H6" s="222">
        <v>4936.9615100000001</v>
      </c>
      <c r="I6" s="222">
        <v>4897.1460400000005</v>
      </c>
      <c r="J6" s="222">
        <v>5042.9199199999985</v>
      </c>
      <c r="K6" s="222">
        <v>5266.9268700000021</v>
      </c>
      <c r="L6" s="222">
        <v>5311.7872244573937</v>
      </c>
      <c r="M6" s="222">
        <v>5509.7862692661101</v>
      </c>
      <c r="N6" s="222">
        <v>5478.0800070041169</v>
      </c>
      <c r="O6" s="222">
        <v>5786.7978878272434</v>
      </c>
      <c r="P6" s="222">
        <v>5838.6921367140849</v>
      </c>
      <c r="Q6" s="222">
        <v>5889.8968363835966</v>
      </c>
    </row>
    <row r="7" spans="1:17" ht="11.4" customHeight="1">
      <c r="A7" s="223" t="s">
        <v>512</v>
      </c>
      <c r="B7" s="222">
        <v>133745.14455395556</v>
      </c>
      <c r="C7" s="222">
        <v>131427.77108000001</v>
      </c>
      <c r="D7" s="222">
        <v>129398.14974999998</v>
      </c>
      <c r="E7" s="222">
        <v>124381.66946</v>
      </c>
      <c r="F7" s="222">
        <v>120485.77161999998</v>
      </c>
      <c r="G7" s="222">
        <v>115008.57043518139</v>
      </c>
      <c r="H7" s="222">
        <v>111099.16065000002</v>
      </c>
      <c r="I7" s="222">
        <v>107283.29290999997</v>
      </c>
      <c r="J7" s="222">
        <v>101434.03526000002</v>
      </c>
      <c r="K7" s="222">
        <v>97178.35003999999</v>
      </c>
      <c r="L7" s="222">
        <v>91422.914599162206</v>
      </c>
      <c r="M7" s="222">
        <v>87564.68115979906</v>
      </c>
      <c r="N7" s="222">
        <v>81656.176942282807</v>
      </c>
      <c r="O7" s="222">
        <v>78869.774873019298</v>
      </c>
      <c r="P7" s="222">
        <v>78636.657744076263</v>
      </c>
      <c r="Q7" s="222">
        <v>77106.892094180454</v>
      </c>
    </row>
    <row r="8" spans="1:17" ht="11.4" customHeight="1">
      <c r="A8" s="223" t="s">
        <v>513</v>
      </c>
      <c r="B8" s="222">
        <v>145192.20836758974</v>
      </c>
      <c r="C8" s="222">
        <v>151335.96424999999</v>
      </c>
      <c r="D8" s="222">
        <v>156587.27995999996</v>
      </c>
      <c r="E8" s="222">
        <v>163736.02963000003</v>
      </c>
      <c r="F8" s="222">
        <v>173167.96038999999</v>
      </c>
      <c r="G8" s="222">
        <v>178046.9837595048</v>
      </c>
      <c r="H8" s="222">
        <v>185546.90439000001</v>
      </c>
      <c r="I8" s="222">
        <v>191928.65104999996</v>
      </c>
      <c r="J8" s="222">
        <v>190437.34629000002</v>
      </c>
      <c r="K8" s="222">
        <v>185520.91003000003</v>
      </c>
      <c r="L8" s="222">
        <v>188407.14606261175</v>
      </c>
      <c r="M8" s="222">
        <v>188480.44560797766</v>
      </c>
      <c r="N8" s="222">
        <v>184707.89726214722</v>
      </c>
      <c r="O8" s="222">
        <v>185599.98165599644</v>
      </c>
      <c r="P8" s="222">
        <v>189762.8456648312</v>
      </c>
      <c r="Q8" s="222">
        <v>194879.5951588157</v>
      </c>
    </row>
    <row r="9" spans="1:17" ht="11.4" customHeight="1">
      <c r="A9" s="221" t="s">
        <v>514</v>
      </c>
      <c r="B9" s="222">
        <v>378.09315475246376</v>
      </c>
      <c r="C9" s="222">
        <v>461.79337999999996</v>
      </c>
      <c r="D9" s="222">
        <v>465.69943000000001</v>
      </c>
      <c r="E9" s="222">
        <v>513.18071000000009</v>
      </c>
      <c r="F9" s="222">
        <v>546.19504000000018</v>
      </c>
      <c r="G9" s="222">
        <v>628.14350500385706</v>
      </c>
      <c r="H9" s="222">
        <v>762.69556999999998</v>
      </c>
      <c r="I9" s="222">
        <v>848.43590000000006</v>
      </c>
      <c r="J9" s="222">
        <v>909.20743999999991</v>
      </c>
      <c r="K9" s="222">
        <v>1051.6565999999998</v>
      </c>
      <c r="L9" s="222">
        <v>1190.3923055978019</v>
      </c>
      <c r="M9" s="222">
        <v>1252.7283923105028</v>
      </c>
      <c r="N9" s="222">
        <v>1355.7358526375747</v>
      </c>
      <c r="O9" s="222">
        <v>1433.8658720532985</v>
      </c>
      <c r="P9" s="222">
        <v>1528.6814377249748</v>
      </c>
      <c r="Q9" s="222">
        <v>1815.2930210577915</v>
      </c>
    </row>
    <row r="10" spans="1:17" ht="11.4" customHeight="1">
      <c r="A10" s="221" t="s">
        <v>515</v>
      </c>
      <c r="B10" s="222">
        <f>SUM(B11:B14)</f>
        <v>709.01362409401065</v>
      </c>
      <c r="C10" s="222">
        <f t="shared" ref="C10:Q10" si="2">SUM(C11:C14)</f>
        <v>835.68254000000002</v>
      </c>
      <c r="D10" s="222">
        <f t="shared" si="2"/>
        <v>1109.4792600000001</v>
      </c>
      <c r="E10" s="222">
        <f t="shared" si="2"/>
        <v>1420.1817599999999</v>
      </c>
      <c r="F10" s="222">
        <f t="shared" si="2"/>
        <v>1922.5759699999999</v>
      </c>
      <c r="G10" s="222">
        <f t="shared" si="2"/>
        <v>3187.3812540633739</v>
      </c>
      <c r="H10" s="222">
        <f t="shared" si="2"/>
        <v>5349.6662900000001</v>
      </c>
      <c r="I10" s="222">
        <f t="shared" si="2"/>
        <v>7570.5482400000019</v>
      </c>
      <c r="J10" s="222">
        <f t="shared" si="2"/>
        <v>9747.2566800000022</v>
      </c>
      <c r="K10" s="222">
        <f t="shared" si="2"/>
        <v>11547.43547</v>
      </c>
      <c r="L10" s="222">
        <f t="shared" si="2"/>
        <v>13111.077261518183</v>
      </c>
      <c r="M10" s="222">
        <f t="shared" si="2"/>
        <v>13657.227092643388</v>
      </c>
      <c r="N10" s="222">
        <f t="shared" si="2"/>
        <v>14377.748579918041</v>
      </c>
      <c r="O10" s="222">
        <f t="shared" si="2"/>
        <v>13098.360025151345</v>
      </c>
      <c r="P10" s="222">
        <f t="shared" si="2"/>
        <v>14161.824445299613</v>
      </c>
      <c r="Q10" s="222">
        <f t="shared" si="2"/>
        <v>14126.647493077617</v>
      </c>
    </row>
    <row r="11" spans="1:17" ht="11.4" customHeight="1">
      <c r="A11" s="223" t="s">
        <v>516</v>
      </c>
      <c r="B11" s="222">
        <v>0</v>
      </c>
      <c r="C11" s="222">
        <v>0</v>
      </c>
      <c r="D11" s="222">
        <v>0</v>
      </c>
      <c r="E11" s="222">
        <v>0</v>
      </c>
      <c r="F11" s="222">
        <v>0</v>
      </c>
      <c r="G11" s="222">
        <v>0</v>
      </c>
      <c r="H11" s="222">
        <v>0</v>
      </c>
      <c r="I11" s="222">
        <v>0</v>
      </c>
      <c r="J11" s="222">
        <v>19.001329999999999</v>
      </c>
      <c r="K11" s="222">
        <v>22.424479999999999</v>
      </c>
      <c r="L11" s="222">
        <v>35.158118371944205</v>
      </c>
      <c r="M11" s="222">
        <v>79.177403270978601</v>
      </c>
      <c r="N11" s="222">
        <v>105.09196669008327</v>
      </c>
      <c r="O11" s="222">
        <v>121.04664288247322</v>
      </c>
      <c r="P11" s="222">
        <v>134.42324057399057</v>
      </c>
      <c r="Q11" s="222">
        <v>127.95007500890392</v>
      </c>
    </row>
    <row r="12" spans="1:17" ht="11.4" customHeight="1">
      <c r="A12" s="223" t="s">
        <v>517</v>
      </c>
      <c r="B12" s="222">
        <v>58.254518766812119</v>
      </c>
      <c r="C12" s="222">
        <v>65.200770000000006</v>
      </c>
      <c r="D12" s="222">
        <v>158.17945</v>
      </c>
      <c r="E12" s="222">
        <v>240.76044999999999</v>
      </c>
      <c r="F12" s="222">
        <v>304.30213000000003</v>
      </c>
      <c r="G12" s="222">
        <v>573.37619062658257</v>
      </c>
      <c r="H12" s="222">
        <v>876.17356999999993</v>
      </c>
      <c r="I12" s="222">
        <v>1162.6064099999999</v>
      </c>
      <c r="J12" s="222">
        <v>1799.1688200000001</v>
      </c>
      <c r="K12" s="222">
        <v>2236.5176799999999</v>
      </c>
      <c r="L12" s="222">
        <v>2802.4436584698969</v>
      </c>
      <c r="M12" s="222">
        <v>2862.377294184173</v>
      </c>
      <c r="N12" s="222">
        <v>2819.9982974802151</v>
      </c>
      <c r="O12" s="222">
        <v>2673.3767180331729</v>
      </c>
      <c r="P12" s="222">
        <v>2654.9104972479076</v>
      </c>
      <c r="Q12" s="222">
        <v>2678.2666495917947</v>
      </c>
    </row>
    <row r="13" spans="1:17" ht="11.4" customHeight="1">
      <c r="A13" s="223" t="s">
        <v>518</v>
      </c>
      <c r="B13" s="222">
        <v>650.75910532719854</v>
      </c>
      <c r="C13" s="222">
        <v>770.48176999999998</v>
      </c>
      <c r="D13" s="222">
        <v>951.29981000000009</v>
      </c>
      <c r="E13" s="222">
        <v>1179.4213099999999</v>
      </c>
      <c r="F13" s="222">
        <v>1618.2738399999998</v>
      </c>
      <c r="G13" s="222">
        <v>2614.0050634367913</v>
      </c>
      <c r="H13" s="222">
        <v>4473.4927200000002</v>
      </c>
      <c r="I13" s="222">
        <v>6407.9418300000016</v>
      </c>
      <c r="J13" s="222">
        <v>7929.0865300000023</v>
      </c>
      <c r="K13" s="222">
        <v>9288.4933099999998</v>
      </c>
      <c r="L13" s="222">
        <v>10273.475484676343</v>
      </c>
      <c r="M13" s="222">
        <v>10715.672395188236</v>
      </c>
      <c r="N13" s="222">
        <v>11452.658315747743</v>
      </c>
      <c r="O13" s="222">
        <v>10303.9366642357</v>
      </c>
      <c r="P13" s="222">
        <v>11372.490707477715</v>
      </c>
      <c r="Q13" s="222">
        <v>11320.430768476919</v>
      </c>
    </row>
    <row r="14" spans="1:17" ht="11.4" customHeight="1">
      <c r="A14" s="223" t="s">
        <v>519</v>
      </c>
      <c r="B14" s="222">
        <v>0</v>
      </c>
      <c r="C14" s="222">
        <v>0</v>
      </c>
      <c r="D14" s="222">
        <v>0</v>
      </c>
      <c r="E14" s="222">
        <v>0</v>
      </c>
      <c r="F14" s="222">
        <v>0</v>
      </c>
      <c r="G14" s="222">
        <v>0</v>
      </c>
      <c r="H14" s="222">
        <v>0</v>
      </c>
      <c r="I14" s="222">
        <v>0</v>
      </c>
      <c r="J14" s="222">
        <v>0</v>
      </c>
      <c r="K14" s="222">
        <v>0</v>
      </c>
      <c r="L14" s="222">
        <v>0</v>
      </c>
      <c r="M14" s="222">
        <v>0</v>
      </c>
      <c r="N14" s="222">
        <v>0</v>
      </c>
      <c r="O14" s="222">
        <v>0</v>
      </c>
      <c r="P14" s="222">
        <v>0</v>
      </c>
      <c r="Q14" s="222">
        <v>0</v>
      </c>
    </row>
    <row r="15" spans="1:17" ht="11.4" customHeight="1">
      <c r="A15" s="224" t="s">
        <v>520</v>
      </c>
      <c r="B15" s="225">
        <v>26.019797761680866</v>
      </c>
      <c r="C15" s="225">
        <v>26.875568071804977</v>
      </c>
      <c r="D15" s="225">
        <v>27.42374215444735</v>
      </c>
      <c r="E15" s="225">
        <v>26.849700699340499</v>
      </c>
      <c r="F15" s="225">
        <v>27.661322791484693</v>
      </c>
      <c r="G15" s="225">
        <v>32.046214124863091</v>
      </c>
      <c r="H15" s="225">
        <v>31.271677011159035</v>
      </c>
      <c r="I15" s="225">
        <v>31.133623821657757</v>
      </c>
      <c r="J15" s="225">
        <v>32.071069234571425</v>
      </c>
      <c r="K15" s="225">
        <v>33.497531585163173</v>
      </c>
      <c r="L15" s="225">
        <v>40.280512675776983</v>
      </c>
      <c r="M15" s="225">
        <v>48.58574552693112</v>
      </c>
      <c r="N15" s="225">
        <v>58.222423365402008</v>
      </c>
      <c r="O15" s="225">
        <v>86.494778657800296</v>
      </c>
      <c r="P15" s="225">
        <v>112.92724665097664</v>
      </c>
      <c r="Q15" s="225">
        <v>158.42319165914685</v>
      </c>
    </row>
    <row r="17" spans="1:17" ht="11.4" customHeight="1">
      <c r="A17" s="217" t="s">
        <v>521</v>
      </c>
      <c r="B17" s="226">
        <f t="shared" ref="B17:Q17" si="3">B18+B42</f>
        <v>283703.00985462393</v>
      </c>
      <c r="C17" s="226">
        <f t="shared" si="3"/>
        <v>287959.64164807182</v>
      </c>
      <c r="D17" s="226">
        <f t="shared" si="3"/>
        <v>291717.3448321544</v>
      </c>
      <c r="E17" s="226">
        <f t="shared" si="3"/>
        <v>294369.49961069936</v>
      </c>
      <c r="F17" s="226">
        <f t="shared" si="3"/>
        <v>300782.27737279149</v>
      </c>
      <c r="G17" s="226">
        <f t="shared" si="3"/>
        <v>301678.20224543783</v>
      </c>
      <c r="H17" s="226">
        <f t="shared" si="3"/>
        <v>307726.66008701117</v>
      </c>
      <c r="I17" s="226">
        <f t="shared" si="3"/>
        <v>312559.20776382164</v>
      </c>
      <c r="J17" s="226">
        <f t="shared" si="3"/>
        <v>307602.83665923454</v>
      </c>
      <c r="K17" s="226">
        <f t="shared" si="3"/>
        <v>300598.7765415851</v>
      </c>
      <c r="L17" s="226">
        <f t="shared" si="3"/>
        <v>299483.5979660232</v>
      </c>
      <c r="M17" s="226">
        <f t="shared" si="3"/>
        <v>296513.45426752366</v>
      </c>
      <c r="N17" s="226">
        <f t="shared" si="3"/>
        <v>287633.86106735514</v>
      </c>
      <c r="O17" s="226">
        <f t="shared" si="3"/>
        <v>284875.27509270544</v>
      </c>
      <c r="P17" s="226">
        <f t="shared" si="3"/>
        <v>290041.62867529714</v>
      </c>
      <c r="Q17" s="226">
        <f t="shared" si="3"/>
        <v>293976.74779517431</v>
      </c>
    </row>
    <row r="18" spans="1:17" ht="11.4" customHeight="1">
      <c r="A18" s="227" t="s">
        <v>522</v>
      </c>
      <c r="B18" s="228">
        <f t="shared" ref="B18:Q18" si="4">B19+B21+B33</f>
        <v>190807.58067011309</v>
      </c>
      <c r="C18" s="228">
        <f t="shared" si="4"/>
        <v>192599.51192288427</v>
      </c>
      <c r="D18" s="228">
        <f t="shared" si="4"/>
        <v>194980.60436292397</v>
      </c>
      <c r="E18" s="228">
        <f t="shared" si="4"/>
        <v>194276.56953796311</v>
      </c>
      <c r="F18" s="228">
        <f t="shared" si="4"/>
        <v>196474.75284563482</v>
      </c>
      <c r="G18" s="228">
        <f t="shared" si="4"/>
        <v>194369.52271233324</v>
      </c>
      <c r="H18" s="228">
        <f t="shared" si="4"/>
        <v>198242.27018362083</v>
      </c>
      <c r="I18" s="228">
        <f t="shared" si="4"/>
        <v>198908.51906116382</v>
      </c>
      <c r="J18" s="228">
        <f t="shared" si="4"/>
        <v>196722.4873990122</v>
      </c>
      <c r="K18" s="228">
        <f t="shared" si="4"/>
        <v>195557.05980409987</v>
      </c>
      <c r="L18" s="228">
        <f t="shared" si="4"/>
        <v>191822.20156600254</v>
      </c>
      <c r="M18" s="228">
        <f t="shared" si="4"/>
        <v>189946.43704291675</v>
      </c>
      <c r="N18" s="228">
        <f t="shared" si="4"/>
        <v>184977.91142540117</v>
      </c>
      <c r="O18" s="228">
        <f t="shared" si="4"/>
        <v>183749.27682068371</v>
      </c>
      <c r="P18" s="228">
        <f t="shared" si="4"/>
        <v>188882.22247092094</v>
      </c>
      <c r="Q18" s="228">
        <f t="shared" si="4"/>
        <v>191166.81886780221</v>
      </c>
    </row>
    <row r="19" spans="1:17" ht="11.4" customHeight="1">
      <c r="A19" s="229" t="s">
        <v>523</v>
      </c>
      <c r="B19" s="230">
        <v>3599.0208582186433</v>
      </c>
      <c r="C19" s="230">
        <v>3698.4454703617275</v>
      </c>
      <c r="D19" s="230">
        <v>3737.855248172596</v>
      </c>
      <c r="E19" s="230">
        <v>3825.215861768746</v>
      </c>
      <c r="F19" s="230">
        <v>3876.3236443893884</v>
      </c>
      <c r="G19" s="230">
        <v>3969.5850034419864</v>
      </c>
      <c r="H19" s="230">
        <v>3881.6399366030796</v>
      </c>
      <c r="I19" s="230">
        <v>3747.507104689339</v>
      </c>
      <c r="J19" s="230">
        <v>3841.3012387970448</v>
      </c>
      <c r="K19" s="230">
        <v>3803.3049499214221</v>
      </c>
      <c r="L19" s="230">
        <v>3857.4515197356668</v>
      </c>
      <c r="M19" s="230">
        <v>3862.1964119155768</v>
      </c>
      <c r="N19" s="230">
        <v>3774.0031403995631</v>
      </c>
      <c r="O19" s="230">
        <v>3715.0069965594007</v>
      </c>
      <c r="P19" s="230">
        <v>3812.567021335889</v>
      </c>
      <c r="Q19" s="230">
        <v>3846.2324936312457</v>
      </c>
    </row>
    <row r="20" spans="1:17" ht="11.4" customHeight="1">
      <c r="A20" s="231" t="s">
        <v>524</v>
      </c>
      <c r="B20" s="232">
        <v>1.457913019298791</v>
      </c>
      <c r="C20" s="232">
        <v>1.5648332531079709</v>
      </c>
      <c r="D20" s="232">
        <v>4.9252176921092579</v>
      </c>
      <c r="E20" s="232">
        <v>7.2499210048852714</v>
      </c>
      <c r="F20" s="232">
        <v>7.4192971995732782</v>
      </c>
      <c r="G20" s="232">
        <v>15.709777556645447</v>
      </c>
      <c r="H20" s="232">
        <v>23.809804859122867</v>
      </c>
      <c r="I20" s="232">
        <v>34.37668287497695</v>
      </c>
      <c r="J20" s="232">
        <v>62.189471094915497</v>
      </c>
      <c r="K20" s="232">
        <v>80.037725845686708</v>
      </c>
      <c r="L20" s="232">
        <v>104.13688837553208</v>
      </c>
      <c r="M20" s="232">
        <v>108.14834694122136</v>
      </c>
      <c r="N20" s="232">
        <v>109.63181520599805</v>
      </c>
      <c r="O20" s="232">
        <v>103.11986051924517</v>
      </c>
      <c r="P20" s="232">
        <v>100.86582637453988</v>
      </c>
      <c r="Q20" s="232">
        <v>107.68650343189209</v>
      </c>
    </row>
    <row r="21" spans="1:17" ht="11.4" customHeight="1">
      <c r="A21" s="233" t="s">
        <v>525</v>
      </c>
      <c r="B21" s="234">
        <f>B22+B24+B26+B27+B29+B32</f>
        <v>172346.78641078161</v>
      </c>
      <c r="C21" s="234">
        <f t="shared" ref="C21:Q21" si="5">C22+C24+C26+C27+C29+C32</f>
        <v>174032.29372763255</v>
      </c>
      <c r="D21" s="234">
        <f t="shared" si="5"/>
        <v>176453.51270746606</v>
      </c>
      <c r="E21" s="234">
        <f t="shared" si="5"/>
        <v>175653.48376598803</v>
      </c>
      <c r="F21" s="234">
        <f t="shared" si="5"/>
        <v>177741.72340588714</v>
      </c>
      <c r="G21" s="234">
        <f t="shared" si="5"/>
        <v>175763.71473177872</v>
      </c>
      <c r="H21" s="234">
        <f t="shared" si="5"/>
        <v>179592.38325801445</v>
      </c>
      <c r="I21" s="234">
        <f t="shared" si="5"/>
        <v>180381.09324949974</v>
      </c>
      <c r="J21" s="234">
        <f t="shared" si="5"/>
        <v>178078.93272178559</v>
      </c>
      <c r="K21" s="234">
        <f t="shared" si="5"/>
        <v>177182.98477345271</v>
      </c>
      <c r="L21" s="234">
        <f t="shared" si="5"/>
        <v>173451.38011653113</v>
      </c>
      <c r="M21" s="234">
        <f t="shared" si="5"/>
        <v>171666.8893667477</v>
      </c>
      <c r="N21" s="234">
        <f t="shared" si="5"/>
        <v>167148.6511929337</v>
      </c>
      <c r="O21" s="234">
        <f t="shared" si="5"/>
        <v>165962.15462984299</v>
      </c>
      <c r="P21" s="234">
        <f t="shared" si="5"/>
        <v>170829.4666712964</v>
      </c>
      <c r="Q21" s="234">
        <f t="shared" si="5"/>
        <v>172605.06339857329</v>
      </c>
    </row>
    <row r="22" spans="1:17" ht="11.4" customHeight="1">
      <c r="A22" s="235" t="s">
        <v>526</v>
      </c>
      <c r="B22" s="236">
        <v>125389.63405309335</v>
      </c>
      <c r="C22" s="236">
        <v>123248.67026713984</v>
      </c>
      <c r="D22" s="236">
        <v>121584.84868621048</v>
      </c>
      <c r="E22" s="236">
        <v>116822.7098856888</v>
      </c>
      <c r="F22" s="236">
        <v>113280.59918718158</v>
      </c>
      <c r="G22" s="236">
        <v>108229.33313283892</v>
      </c>
      <c r="H22" s="236">
        <v>104942.93215598352</v>
      </c>
      <c r="I22" s="236">
        <v>101749.60445926532</v>
      </c>
      <c r="J22" s="236">
        <v>96708.929839067569</v>
      </c>
      <c r="K22" s="236">
        <v>93136.989185508632</v>
      </c>
      <c r="L22" s="236">
        <v>88083.487614610392</v>
      </c>
      <c r="M22" s="236">
        <v>84450.25225804231</v>
      </c>
      <c r="N22" s="236">
        <v>78759.727175049571</v>
      </c>
      <c r="O22" s="236">
        <v>75975.142802711198</v>
      </c>
      <c r="P22" s="236">
        <v>75700.651547209243</v>
      </c>
      <c r="Q22" s="236">
        <v>74177.437581914812</v>
      </c>
    </row>
    <row r="23" spans="1:17" ht="11.4" customHeight="1">
      <c r="A23" s="237" t="s">
        <v>524</v>
      </c>
      <c r="B23" s="236">
        <v>52.247570191135594</v>
      </c>
      <c r="C23" s="236">
        <v>59.488921097989191</v>
      </c>
      <c r="D23" s="236">
        <v>148.15054934718768</v>
      </c>
      <c r="E23" s="236">
        <v>222.92597334103323</v>
      </c>
      <c r="F23" s="236">
        <v>288.06106657195625</v>
      </c>
      <c r="G23" s="236">
        <v>542.10175290274856</v>
      </c>
      <c r="H23" s="236">
        <v>830.79866883675538</v>
      </c>
      <c r="I23" s="236">
        <v>1098.7460361546723</v>
      </c>
      <c r="J23" s="236">
        <v>1691.1273122265618</v>
      </c>
      <c r="K23" s="236">
        <v>2102.3798956654114</v>
      </c>
      <c r="L23" s="236">
        <v>2635.1444190060688</v>
      </c>
      <c r="M23" s="236">
        <v>2691.9909445420731</v>
      </c>
      <c r="N23" s="236">
        <v>2650.8126836109413</v>
      </c>
      <c r="O23" s="236">
        <v>2512.5932303436921</v>
      </c>
      <c r="P23" s="236">
        <v>2500.7548368583944</v>
      </c>
      <c r="Q23" s="236">
        <v>2514.1906108860603</v>
      </c>
    </row>
    <row r="24" spans="1:17" ht="11.4" customHeight="1">
      <c r="A24" s="235" t="s">
        <v>527</v>
      </c>
      <c r="B24" s="236">
        <v>43151.728786459935</v>
      </c>
      <c r="C24" s="236">
        <v>46756.900694748147</v>
      </c>
      <c r="D24" s="236">
        <v>50635.862286203002</v>
      </c>
      <c r="E24" s="236">
        <v>54469.042372206241</v>
      </c>
      <c r="F24" s="236">
        <v>59771.327707546669</v>
      </c>
      <c r="G24" s="236">
        <v>62639.278132158652</v>
      </c>
      <c r="H24" s="236">
        <v>69556.286642651117</v>
      </c>
      <c r="I24" s="236">
        <v>73526.363411357859</v>
      </c>
      <c r="J24" s="236">
        <v>76073.425760979677</v>
      </c>
      <c r="K24" s="236">
        <v>78430.990950397754</v>
      </c>
      <c r="L24" s="236">
        <v>79618.562636649716</v>
      </c>
      <c r="M24" s="236">
        <v>81233.980709002673</v>
      </c>
      <c r="N24" s="236">
        <v>82360.215764326655</v>
      </c>
      <c r="O24" s="236">
        <v>83554.207540210686</v>
      </c>
      <c r="P24" s="236">
        <v>88531.23653900827</v>
      </c>
      <c r="Q24" s="236">
        <v>91673.952309471162</v>
      </c>
    </row>
    <row r="25" spans="1:17" ht="11.4" customHeight="1">
      <c r="A25" s="237" t="s">
        <v>524</v>
      </c>
      <c r="B25" s="236">
        <v>212.05075317479327</v>
      </c>
      <c r="C25" s="236">
        <v>257.17633914874637</v>
      </c>
      <c r="D25" s="236">
        <v>323.08924624894479</v>
      </c>
      <c r="E25" s="236">
        <v>413.62972950123674</v>
      </c>
      <c r="F25" s="236">
        <v>612.74836786309072</v>
      </c>
      <c r="G25" s="236">
        <v>1016.3069786037605</v>
      </c>
      <c r="H25" s="236">
        <v>1741.215957308</v>
      </c>
      <c r="I25" s="236">
        <v>2491.4044267342661</v>
      </c>
      <c r="J25" s="236">
        <v>3119.1447826786271</v>
      </c>
      <c r="K25" s="236">
        <v>3837.5688549965507</v>
      </c>
      <c r="L25" s="236">
        <v>4240.2855204448615</v>
      </c>
      <c r="M25" s="236">
        <v>4491.5118948714489</v>
      </c>
      <c r="N25" s="236">
        <v>4962.994612686146</v>
      </c>
      <c r="O25" s="236">
        <v>4412.71958213172</v>
      </c>
      <c r="P25" s="236">
        <v>4985.9882169712464</v>
      </c>
      <c r="Q25" s="236">
        <v>5021.7860998862934</v>
      </c>
    </row>
    <row r="26" spans="1:17" ht="11.4" customHeight="1">
      <c r="A26" s="235" t="s">
        <v>528</v>
      </c>
      <c r="B26" s="236">
        <v>3506.1885406744741</v>
      </c>
      <c r="C26" s="236">
        <v>3683.2904358386495</v>
      </c>
      <c r="D26" s="236">
        <v>3890.7813378649043</v>
      </c>
      <c r="E26" s="236">
        <v>4027.2907528823816</v>
      </c>
      <c r="F26" s="236">
        <v>4342.7103789334278</v>
      </c>
      <c r="G26" s="236">
        <v>4474.4282060885171</v>
      </c>
      <c r="H26" s="236">
        <v>4616.0616358767738</v>
      </c>
      <c r="I26" s="236">
        <v>4572.7377087843952</v>
      </c>
      <c r="J26" s="236">
        <v>4715.5735441137267</v>
      </c>
      <c r="K26" s="236">
        <v>4951.7865413812524</v>
      </c>
      <c r="L26" s="236">
        <v>4990.9702053393112</v>
      </c>
      <c r="M26" s="236">
        <v>5187.8521779624325</v>
      </c>
      <c r="N26" s="236">
        <v>5162.358709835853</v>
      </c>
      <c r="O26" s="236">
        <v>5477.243309552221</v>
      </c>
      <c r="P26" s="236">
        <v>5524.0880805934867</v>
      </c>
      <c r="Q26" s="236">
        <v>5582.5750553734015</v>
      </c>
    </row>
    <row r="27" spans="1:17" ht="11.4" customHeight="1">
      <c r="A27" s="235" t="s">
        <v>529</v>
      </c>
      <c r="B27" s="236">
        <v>299.23503055384805</v>
      </c>
      <c r="C27" s="236">
        <v>343.43232990593089</v>
      </c>
      <c r="D27" s="236">
        <v>342.0203971876756</v>
      </c>
      <c r="E27" s="236">
        <v>334.43855311542688</v>
      </c>
      <c r="F27" s="236">
        <v>347.08291092452572</v>
      </c>
      <c r="G27" s="236">
        <v>420.67141840681597</v>
      </c>
      <c r="H27" s="236">
        <v>477.0840985295909</v>
      </c>
      <c r="I27" s="236">
        <v>532.35946755085251</v>
      </c>
      <c r="J27" s="236">
        <v>580.43447128267087</v>
      </c>
      <c r="K27" s="236">
        <v>662.11523840298821</v>
      </c>
      <c r="L27" s="236">
        <v>754.91062924566904</v>
      </c>
      <c r="M27" s="236">
        <v>784.84505383331998</v>
      </c>
      <c r="N27" s="236">
        <v>847.69175586334359</v>
      </c>
      <c r="O27" s="236">
        <v>917.66373947233035</v>
      </c>
      <c r="P27" s="236">
        <v>994.48404446496568</v>
      </c>
      <c r="Q27" s="236">
        <v>1032.8177560763654</v>
      </c>
    </row>
    <row r="28" spans="1:17" ht="11.4" customHeight="1">
      <c r="A28" s="237" t="s">
        <v>530</v>
      </c>
      <c r="B28" s="236">
        <v>0</v>
      </c>
      <c r="C28" s="236">
        <v>0</v>
      </c>
      <c r="D28" s="236">
        <v>0</v>
      </c>
      <c r="E28" s="236">
        <v>0</v>
      </c>
      <c r="F28" s="236">
        <v>0</v>
      </c>
      <c r="G28" s="236">
        <v>0</v>
      </c>
      <c r="H28" s="236">
        <v>0</v>
      </c>
      <c r="I28" s="236">
        <v>0</v>
      </c>
      <c r="J28" s="236">
        <v>3.4479304828400927</v>
      </c>
      <c r="K28" s="236">
        <v>4.8762832488608643</v>
      </c>
      <c r="L28" s="236">
        <v>14.385467800584792</v>
      </c>
      <c r="M28" s="236">
        <v>24.51435988976144</v>
      </c>
      <c r="N28" s="236">
        <v>40.946008017110707</v>
      </c>
      <c r="O28" s="236">
        <v>50.586994906092741</v>
      </c>
      <c r="P28" s="236">
        <v>57.26634891860629</v>
      </c>
      <c r="Q28" s="236">
        <v>51.599980668448353</v>
      </c>
    </row>
    <row r="29" spans="1:17" ht="11.4" customHeight="1">
      <c r="A29" s="235" t="s">
        <v>531</v>
      </c>
      <c r="B29" s="236">
        <v>0</v>
      </c>
      <c r="C29" s="236">
        <v>0</v>
      </c>
      <c r="D29" s="236">
        <v>0</v>
      </c>
      <c r="E29" s="236">
        <v>0</v>
      </c>
      <c r="F29" s="236">
        <v>0</v>
      </c>
      <c r="G29" s="236">
        <v>0</v>
      </c>
      <c r="H29" s="236">
        <v>0</v>
      </c>
      <c r="I29" s="236">
        <v>0</v>
      </c>
      <c r="J29" s="236">
        <v>5.9276321964806887E-2</v>
      </c>
      <c r="K29" s="236">
        <v>7.5172790844974163E-2</v>
      </c>
      <c r="L29" s="236">
        <v>0.19764750557525032</v>
      </c>
      <c r="M29" s="236">
        <v>0.27745103694537565</v>
      </c>
      <c r="N29" s="236">
        <v>2.8591441920246354</v>
      </c>
      <c r="O29" s="236">
        <v>11.711900577874051</v>
      </c>
      <c r="P29" s="236">
        <v>37.76178311792475</v>
      </c>
      <c r="Q29" s="236">
        <v>74.131558876047706</v>
      </c>
    </row>
    <row r="30" spans="1:17" ht="11.4" customHeight="1">
      <c r="A30" s="237" t="s">
        <v>524</v>
      </c>
      <c r="B30" s="236">
        <v>0</v>
      </c>
      <c r="C30" s="236">
        <v>0</v>
      </c>
      <c r="D30" s="236">
        <v>0</v>
      </c>
      <c r="E30" s="236">
        <v>0</v>
      </c>
      <c r="F30" s="236">
        <v>0</v>
      </c>
      <c r="G30" s="236">
        <v>0</v>
      </c>
      <c r="H30" s="236">
        <v>0</v>
      </c>
      <c r="I30" s="236">
        <v>0</v>
      </c>
      <c r="J30" s="236">
        <v>2.2021574197410025E-3</v>
      </c>
      <c r="K30" s="236">
        <v>2.6400784444865393E-3</v>
      </c>
      <c r="L30" s="236">
        <v>3.4380865409579394E-3</v>
      </c>
      <c r="M30" s="236">
        <v>6.368622653156574E-3</v>
      </c>
      <c r="N30" s="236">
        <v>5.2019075819253434E-2</v>
      </c>
      <c r="O30" s="236">
        <v>0.15409460557331692</v>
      </c>
      <c r="P30" s="236">
        <v>0.51752789806885446</v>
      </c>
      <c r="Q30" s="236">
        <v>1.2918998911237471</v>
      </c>
    </row>
    <row r="31" spans="1:17" ht="11.4" customHeight="1">
      <c r="A31" s="237" t="s">
        <v>532</v>
      </c>
      <c r="B31" s="236">
        <v>0</v>
      </c>
      <c r="C31" s="236">
        <v>0</v>
      </c>
      <c r="D31" s="236">
        <v>0</v>
      </c>
      <c r="E31" s="236">
        <v>0</v>
      </c>
      <c r="F31" s="236">
        <v>0</v>
      </c>
      <c r="G31" s="236">
        <v>0</v>
      </c>
      <c r="H31" s="236">
        <v>0</v>
      </c>
      <c r="I31" s="236">
        <v>0</v>
      </c>
      <c r="J31" s="236">
        <v>1.9651635127603605E-2</v>
      </c>
      <c r="K31" s="236">
        <v>2.4785078489017884E-2</v>
      </c>
      <c r="L31" s="236">
        <v>6.264994835986272E-2</v>
      </c>
      <c r="M31" s="236">
        <v>9.789898535018926E-2</v>
      </c>
      <c r="N31" s="236">
        <v>0.83732658944338967</v>
      </c>
      <c r="O31" s="236">
        <v>3.8561078326555673</v>
      </c>
      <c r="P31" s="236">
        <v>13.081792948144111</v>
      </c>
      <c r="Q31" s="236">
        <v>26.355920049678055</v>
      </c>
    </row>
    <row r="32" spans="1:17" ht="11.4" customHeight="1">
      <c r="A32" s="235" t="s">
        <v>533</v>
      </c>
      <c r="B32" s="236">
        <v>0</v>
      </c>
      <c r="C32" s="236">
        <v>0</v>
      </c>
      <c r="D32" s="236">
        <v>0</v>
      </c>
      <c r="E32" s="236">
        <v>2.2020951678335282E-3</v>
      </c>
      <c r="F32" s="236">
        <v>3.2213009200931773E-3</v>
      </c>
      <c r="G32" s="236">
        <v>3.8422857932064562E-3</v>
      </c>
      <c r="H32" s="236">
        <v>1.8724973429266541E-2</v>
      </c>
      <c r="I32" s="236">
        <v>2.8202541325448045E-2</v>
      </c>
      <c r="J32" s="236">
        <v>0.50983001999366273</v>
      </c>
      <c r="K32" s="236">
        <v>1.0276849712487521</v>
      </c>
      <c r="L32" s="236">
        <v>3.2513831804548987</v>
      </c>
      <c r="M32" s="236">
        <v>9.6817168700338527</v>
      </c>
      <c r="N32" s="236">
        <v>15.798643666271476</v>
      </c>
      <c r="O32" s="236">
        <v>26.185337318648195</v>
      </c>
      <c r="P32" s="236">
        <v>41.244676902470239</v>
      </c>
      <c r="Q32" s="236">
        <v>64.149136861496928</v>
      </c>
    </row>
    <row r="33" spans="1:17" ht="11.4" customHeight="1">
      <c r="A33" s="233" t="s">
        <v>534</v>
      </c>
      <c r="B33" s="234">
        <f>B34+B36+B38+B39+B41</f>
        <v>14861.773401112836</v>
      </c>
      <c r="C33" s="234">
        <f t="shared" ref="C33:Q33" si="6">C34+C36+C38+C39+C41</f>
        <v>14868.772724889966</v>
      </c>
      <c r="D33" s="234">
        <f t="shared" si="6"/>
        <v>14789.236407285331</v>
      </c>
      <c r="E33" s="234">
        <f t="shared" si="6"/>
        <v>14797.869910206327</v>
      </c>
      <c r="F33" s="234">
        <f t="shared" si="6"/>
        <v>14856.705795358292</v>
      </c>
      <c r="G33" s="234">
        <f t="shared" si="6"/>
        <v>14636.222977112533</v>
      </c>
      <c r="H33" s="234">
        <f t="shared" si="6"/>
        <v>14768.246989003308</v>
      </c>
      <c r="I33" s="234">
        <f t="shared" si="6"/>
        <v>14779.918706974742</v>
      </c>
      <c r="J33" s="234">
        <f t="shared" si="6"/>
        <v>14802.253438429558</v>
      </c>
      <c r="K33" s="234">
        <f t="shared" si="6"/>
        <v>14570.770080725762</v>
      </c>
      <c r="L33" s="234">
        <f t="shared" si="6"/>
        <v>14513.369929735758</v>
      </c>
      <c r="M33" s="234">
        <f t="shared" si="6"/>
        <v>14417.351264253453</v>
      </c>
      <c r="N33" s="234">
        <f t="shared" si="6"/>
        <v>14055.257092067917</v>
      </c>
      <c r="O33" s="234">
        <f t="shared" si="6"/>
        <v>14072.115194281321</v>
      </c>
      <c r="P33" s="234">
        <f t="shared" si="6"/>
        <v>14240.188778288672</v>
      </c>
      <c r="Q33" s="234">
        <f t="shared" si="6"/>
        <v>14715.522975597674</v>
      </c>
    </row>
    <row r="34" spans="1:17" ht="11.4" customHeight="1">
      <c r="A34" s="235" t="s">
        <v>526</v>
      </c>
      <c r="B34" s="238">
        <v>63.278537468403755</v>
      </c>
      <c r="C34" s="238">
        <v>59.84746874737575</v>
      </c>
      <c r="D34" s="238">
        <v>56.804699840753699</v>
      </c>
      <c r="E34" s="238">
        <v>47.02991463976484</v>
      </c>
      <c r="F34" s="238">
        <v>41.578624336086584</v>
      </c>
      <c r="G34" s="238">
        <v>36.521971391535871</v>
      </c>
      <c r="H34" s="238">
        <v>33.629850905910452</v>
      </c>
      <c r="I34" s="238">
        <v>29.234139728874862</v>
      </c>
      <c r="J34" s="238">
        <v>26.543652164100507</v>
      </c>
      <c r="K34" s="238">
        <v>23.262670425324014</v>
      </c>
      <c r="L34" s="238">
        <v>20.742244385173006</v>
      </c>
      <c r="M34" s="238">
        <v>18.349516119185797</v>
      </c>
      <c r="N34" s="238">
        <v>16.262473005398643</v>
      </c>
      <c r="O34" s="238">
        <v>16.249363355943739</v>
      </c>
      <c r="P34" s="238">
        <v>13.909073311937176</v>
      </c>
      <c r="Q34" s="238">
        <v>12.695515409056817</v>
      </c>
    </row>
    <row r="35" spans="1:17" ht="11.4" customHeight="1">
      <c r="A35" s="237" t="s">
        <v>524</v>
      </c>
      <c r="B35" s="238">
        <v>1.5081858342509006E-2</v>
      </c>
      <c r="C35" s="238">
        <v>2.8203233537966381E-2</v>
      </c>
      <c r="D35" s="238">
        <v>7.5571983414587748E-2</v>
      </c>
      <c r="E35" s="238">
        <v>0.10432822647066545</v>
      </c>
      <c r="F35" s="238">
        <v>0.11656467115063275</v>
      </c>
      <c r="G35" s="238">
        <v>0.13311773355711989</v>
      </c>
      <c r="H35" s="238">
        <v>0.21003917037888345</v>
      </c>
      <c r="I35" s="238">
        <v>0.24146806996336106</v>
      </c>
      <c r="J35" s="238">
        <v>0.40571068721844156</v>
      </c>
      <c r="K35" s="238">
        <v>0.5413866466743994</v>
      </c>
      <c r="L35" s="238">
        <v>0.7657426723934041</v>
      </c>
      <c r="M35" s="238">
        <v>0.69865922582057427</v>
      </c>
      <c r="N35" s="238">
        <v>0.59597451162596415</v>
      </c>
      <c r="O35" s="238">
        <v>0.53697291363910316</v>
      </c>
      <c r="P35" s="238">
        <v>0.51162115095606187</v>
      </c>
      <c r="Q35" s="238">
        <v>0.45578455026590903</v>
      </c>
    </row>
    <row r="36" spans="1:17" ht="11.4" customHeight="1">
      <c r="A36" s="235" t="s">
        <v>527</v>
      </c>
      <c r="B36" s="238">
        <v>14693.367848972777</v>
      </c>
      <c r="C36" s="238">
        <v>14665.693512174445</v>
      </c>
      <c r="D36" s="238">
        <v>14586.329744306322</v>
      </c>
      <c r="E36" s="238">
        <v>14553.349979432689</v>
      </c>
      <c r="F36" s="238">
        <v>14588.257847885749</v>
      </c>
      <c r="G36" s="238">
        <v>14362.839572534765</v>
      </c>
      <c r="H36" s="238">
        <v>14438.249169158307</v>
      </c>
      <c r="I36" s="238">
        <v>14430.004436868738</v>
      </c>
      <c r="J36" s="238">
        <v>14437.09668727419</v>
      </c>
      <c r="K36" s="238">
        <v>14163.229181921219</v>
      </c>
      <c r="L36" s="238">
        <v>14070.716868911466</v>
      </c>
      <c r="M36" s="238">
        <v>13906.323967121583</v>
      </c>
      <c r="N36" s="238">
        <v>13479.865237706535</v>
      </c>
      <c r="O36" s="238">
        <v>13466.950576822686</v>
      </c>
      <c r="P36" s="238">
        <v>13617.563366268405</v>
      </c>
      <c r="Q36" s="238">
        <v>13855.821050123208</v>
      </c>
    </row>
    <row r="37" spans="1:17" ht="11.4" customHeight="1">
      <c r="A37" s="237" t="s">
        <v>524</v>
      </c>
      <c r="B37" s="238">
        <v>53.214257475533579</v>
      </c>
      <c r="C37" s="238">
        <v>64.57283534518929</v>
      </c>
      <c r="D37" s="238">
        <v>72.119263327544772</v>
      </c>
      <c r="E37" s="238">
        <v>85.302623539503514</v>
      </c>
      <c r="F37" s="238">
        <v>117.29632876785921</v>
      </c>
      <c r="G37" s="238">
        <v>181.05982518763119</v>
      </c>
      <c r="H37" s="238">
        <v>308.49981429998513</v>
      </c>
      <c r="I37" s="238">
        <v>414.21757609226955</v>
      </c>
      <c r="J37" s="238">
        <v>543.0128887686061</v>
      </c>
      <c r="K37" s="238">
        <v>638.45314085279654</v>
      </c>
      <c r="L37" s="238">
        <v>674.6710831218337</v>
      </c>
      <c r="M37" s="238">
        <v>713.26582074381633</v>
      </c>
      <c r="N37" s="238">
        <v>756.21459411773299</v>
      </c>
      <c r="O37" s="238">
        <v>722.89544555134671</v>
      </c>
      <c r="P37" s="238">
        <v>780.71931680885245</v>
      </c>
      <c r="Q37" s="238">
        <v>791.97333003175083</v>
      </c>
    </row>
    <row r="38" spans="1:17" ht="11.4" customHeight="1">
      <c r="A38" s="235" t="s">
        <v>528</v>
      </c>
      <c r="B38" s="238">
        <v>13.224308383359222</v>
      </c>
      <c r="C38" s="238">
        <v>12.882763821341015</v>
      </c>
      <c r="D38" s="238">
        <v>12.2307804088308</v>
      </c>
      <c r="E38" s="238">
        <v>11.856484224676109</v>
      </c>
      <c r="F38" s="238">
        <v>23.101457364559248</v>
      </c>
      <c r="G38" s="238">
        <v>23.392349708626814</v>
      </c>
      <c r="H38" s="238">
        <v>22.629794107789007</v>
      </c>
      <c r="I38" s="238">
        <v>23.878988576127885</v>
      </c>
      <c r="J38" s="238">
        <v>24.278357734569212</v>
      </c>
      <c r="K38" s="238">
        <v>25.444993984024133</v>
      </c>
      <c r="L38" s="238">
        <v>25.779552342072776</v>
      </c>
      <c r="M38" s="238">
        <v>25.29705791548869</v>
      </c>
      <c r="N38" s="238">
        <v>24.172511062957664</v>
      </c>
      <c r="O38" s="238">
        <v>23.586338517727395</v>
      </c>
      <c r="P38" s="238">
        <v>23.173714570048777</v>
      </c>
      <c r="Q38" s="238">
        <v>21.925543612947141</v>
      </c>
    </row>
    <row r="39" spans="1:17" ht="11.4" customHeight="1">
      <c r="A39" s="235" t="s">
        <v>529</v>
      </c>
      <c r="B39" s="238">
        <v>68.227383725015841</v>
      </c>
      <c r="C39" s="238">
        <v>106.04481593317105</v>
      </c>
      <c r="D39" s="238">
        <v>109.12037912364156</v>
      </c>
      <c r="E39" s="238">
        <v>161.49917610525009</v>
      </c>
      <c r="F39" s="238">
        <v>179.47791233831668</v>
      </c>
      <c r="G39" s="238">
        <v>184.73380847456286</v>
      </c>
      <c r="H39" s="238">
        <v>245.80839939974302</v>
      </c>
      <c r="I39" s="238">
        <v>269.06834745940449</v>
      </c>
      <c r="J39" s="238">
        <v>285.93287124119195</v>
      </c>
      <c r="K39" s="238">
        <v>329.65665065471273</v>
      </c>
      <c r="L39" s="238">
        <v>362.34670663728411</v>
      </c>
      <c r="M39" s="238">
        <v>432.30206166670473</v>
      </c>
      <c r="N39" s="238">
        <v>499.92443280824074</v>
      </c>
      <c r="O39" s="238">
        <v>518.55059427661945</v>
      </c>
      <c r="P39" s="238">
        <v>540.55901984752984</v>
      </c>
      <c r="Q39" s="238">
        <v>775.11796499400282</v>
      </c>
    </row>
    <row r="40" spans="1:17" ht="11.4" customHeight="1">
      <c r="A40" s="237" t="s">
        <v>530</v>
      </c>
      <c r="B40" s="238">
        <v>0</v>
      </c>
      <c r="C40" s="238">
        <v>0</v>
      </c>
      <c r="D40" s="238">
        <v>0</v>
      </c>
      <c r="E40" s="238">
        <v>0</v>
      </c>
      <c r="F40" s="238">
        <v>0</v>
      </c>
      <c r="G40" s="238">
        <v>0</v>
      </c>
      <c r="H40" s="238">
        <v>0</v>
      </c>
      <c r="I40" s="238">
        <v>0</v>
      </c>
      <c r="J40" s="238">
        <v>14.956782468918595</v>
      </c>
      <c r="K40" s="238">
        <v>16.432674713265115</v>
      </c>
      <c r="L40" s="238">
        <v>16.708619768442599</v>
      </c>
      <c r="M40" s="238">
        <v>49.889308765719747</v>
      </c>
      <c r="N40" s="238">
        <v>56.572750513865429</v>
      </c>
      <c r="O40" s="238">
        <v>61.682650900378327</v>
      </c>
      <c r="P40" s="238">
        <v>67.361505203526789</v>
      </c>
      <c r="Q40" s="238">
        <v>68.469832130224631</v>
      </c>
    </row>
    <row r="41" spans="1:17" ht="11.4" customHeight="1">
      <c r="A41" s="235" t="s">
        <v>533</v>
      </c>
      <c r="B41" s="238">
        <v>23.675322563277739</v>
      </c>
      <c r="C41" s="238">
        <v>24.304164213633573</v>
      </c>
      <c r="D41" s="238">
        <v>24.750803605783041</v>
      </c>
      <c r="E41" s="238">
        <v>24.134355803947578</v>
      </c>
      <c r="F41" s="238">
        <v>24.289953433581484</v>
      </c>
      <c r="G41" s="238">
        <v>28.735275003042254</v>
      </c>
      <c r="H41" s="238">
        <v>27.929775431558969</v>
      </c>
      <c r="I41" s="238">
        <v>27.732794341599369</v>
      </c>
      <c r="J41" s="238">
        <v>28.401870015505892</v>
      </c>
      <c r="K41" s="238">
        <v>29.176583740483544</v>
      </c>
      <c r="L41" s="238">
        <v>33.784557459762155</v>
      </c>
      <c r="M41" s="238">
        <v>35.078661430490136</v>
      </c>
      <c r="N41" s="238">
        <v>35.032437484784211</v>
      </c>
      <c r="O41" s="238">
        <v>46.778321308344047</v>
      </c>
      <c r="P41" s="238">
        <v>44.983604290751465</v>
      </c>
      <c r="Q41" s="238">
        <v>49.962901458459505</v>
      </c>
    </row>
    <row r="42" spans="1:17" ht="11.4" customHeight="1">
      <c r="A42" s="227" t="s">
        <v>535</v>
      </c>
      <c r="B42" s="228">
        <f t="shared" ref="B42:Q42" si="7">B43+B52</f>
        <v>92895.429184510809</v>
      </c>
      <c r="C42" s="228">
        <f t="shared" si="7"/>
        <v>95360.129725187522</v>
      </c>
      <c r="D42" s="228">
        <f t="shared" si="7"/>
        <v>96736.740469230426</v>
      </c>
      <c r="E42" s="228">
        <f t="shared" si="7"/>
        <v>100092.93007273623</v>
      </c>
      <c r="F42" s="228">
        <f t="shared" si="7"/>
        <v>104307.52452715668</v>
      </c>
      <c r="G42" s="228">
        <f t="shared" si="7"/>
        <v>107308.67953310457</v>
      </c>
      <c r="H42" s="228">
        <f t="shared" si="7"/>
        <v>109484.38990339037</v>
      </c>
      <c r="I42" s="228">
        <f t="shared" si="7"/>
        <v>113650.6887026578</v>
      </c>
      <c r="J42" s="228">
        <f t="shared" si="7"/>
        <v>110880.34926022234</v>
      </c>
      <c r="K42" s="228">
        <f t="shared" si="7"/>
        <v>105041.71673748523</v>
      </c>
      <c r="L42" s="228">
        <f t="shared" si="7"/>
        <v>107661.39640002066</v>
      </c>
      <c r="M42" s="228">
        <f t="shared" si="7"/>
        <v>106567.01722460693</v>
      </c>
      <c r="N42" s="228">
        <f t="shared" si="7"/>
        <v>102655.94964195398</v>
      </c>
      <c r="O42" s="228">
        <f t="shared" si="7"/>
        <v>101125.99827202174</v>
      </c>
      <c r="P42" s="228">
        <f t="shared" si="7"/>
        <v>101159.4062043762</v>
      </c>
      <c r="Q42" s="228">
        <f t="shared" si="7"/>
        <v>102809.92892737211</v>
      </c>
    </row>
    <row r="43" spans="1:17" ht="11.4" customHeight="1">
      <c r="A43" s="239" t="s">
        <v>536</v>
      </c>
      <c r="B43" s="240">
        <f>B44+B46+B48+B49+B51</f>
        <v>30339.303339344915</v>
      </c>
      <c r="C43" s="240">
        <f t="shared" ref="C43:Q43" si="8">C44+C46+C48+C49+C51</f>
        <v>30812.606579006515</v>
      </c>
      <c r="D43" s="240">
        <f t="shared" si="8"/>
        <v>31159.977144392698</v>
      </c>
      <c r="E43" s="240">
        <f t="shared" si="8"/>
        <v>32199.365572884697</v>
      </c>
      <c r="F43" s="240">
        <f t="shared" si="8"/>
        <v>32953.075916294823</v>
      </c>
      <c r="G43" s="240">
        <f t="shared" si="8"/>
        <v>33870.208973873858</v>
      </c>
      <c r="H43" s="240">
        <f t="shared" si="8"/>
        <v>33817.110571437275</v>
      </c>
      <c r="I43" s="240">
        <f t="shared" si="8"/>
        <v>35272.282173408035</v>
      </c>
      <c r="J43" s="240">
        <f t="shared" si="8"/>
        <v>34831.623833333753</v>
      </c>
      <c r="K43" s="240">
        <f t="shared" si="8"/>
        <v>34331.850140583723</v>
      </c>
      <c r="L43" s="240">
        <f t="shared" si="8"/>
        <v>35098.296957306702</v>
      </c>
      <c r="M43" s="240">
        <f t="shared" si="8"/>
        <v>35218.246965749888</v>
      </c>
      <c r="N43" s="240">
        <f t="shared" si="8"/>
        <v>33956.74572364083</v>
      </c>
      <c r="O43" s="240">
        <f t="shared" si="8"/>
        <v>33301.067170036586</v>
      </c>
      <c r="P43" s="240">
        <f t="shared" si="8"/>
        <v>33935.893115416038</v>
      </c>
      <c r="Q43" s="240">
        <f t="shared" si="8"/>
        <v>34105.273865086812</v>
      </c>
    </row>
    <row r="44" spans="1:17" ht="11.4" customHeight="1">
      <c r="A44" s="235" t="s">
        <v>526</v>
      </c>
      <c r="B44" s="236">
        <v>4751.465623941911</v>
      </c>
      <c r="C44" s="236">
        <v>4486.008643751039</v>
      </c>
      <c r="D44" s="236">
        <v>4176.82056577615</v>
      </c>
      <c r="E44" s="236">
        <v>3927.4742479026795</v>
      </c>
      <c r="F44" s="236">
        <v>3591.5722940929377</v>
      </c>
      <c r="G44" s="236">
        <v>3346.5065181355417</v>
      </c>
      <c r="H44" s="236">
        <v>3117.1322765075133</v>
      </c>
      <c r="I44" s="236">
        <v>2919.5536163164616</v>
      </c>
      <c r="J44" s="236">
        <v>2656.3897252844295</v>
      </c>
      <c r="K44" s="236">
        <v>2451.2605264322688</v>
      </c>
      <c r="L44" s="236">
        <v>2263.5418813436727</v>
      </c>
      <c r="M44" s="236">
        <v>2096.0807158545481</v>
      </c>
      <c r="N44" s="236">
        <v>1924.1606337059154</v>
      </c>
      <c r="O44" s="236">
        <v>1828.8966356807184</v>
      </c>
      <c r="P44" s="236">
        <v>1739.7606092973253</v>
      </c>
      <c r="Q44" s="236">
        <v>1701.0175139907658</v>
      </c>
    </row>
    <row r="45" spans="1:17" ht="11.4" customHeight="1">
      <c r="A45" s="237" t="s">
        <v>524</v>
      </c>
      <c r="B45" s="236">
        <v>4.5339536980352184</v>
      </c>
      <c r="C45" s="236">
        <v>4.1188124153648769</v>
      </c>
      <c r="D45" s="236">
        <v>5.0281109772884651</v>
      </c>
      <c r="E45" s="236">
        <v>10.480227427610819</v>
      </c>
      <c r="F45" s="236">
        <v>8.7052015573198247</v>
      </c>
      <c r="G45" s="236">
        <v>15.431542433631522</v>
      </c>
      <c r="H45" s="236">
        <v>21.355057133742854</v>
      </c>
      <c r="I45" s="236">
        <v>29.242222900387308</v>
      </c>
      <c r="J45" s="236">
        <v>45.444123833884369</v>
      </c>
      <c r="K45" s="236">
        <v>53.55603176378272</v>
      </c>
      <c r="L45" s="236">
        <v>62.393170329362206</v>
      </c>
      <c r="M45" s="236">
        <v>61.532974852405239</v>
      </c>
      <c r="N45" s="236">
        <v>58.905805075830827</v>
      </c>
      <c r="O45" s="236">
        <v>56.972559651023793</v>
      </c>
      <c r="P45" s="236">
        <v>52.26068496594791</v>
      </c>
      <c r="Q45" s="236">
        <v>54.641850832452228</v>
      </c>
    </row>
    <row r="46" spans="1:17" ht="11.4" customHeight="1">
      <c r="A46" s="235" t="s">
        <v>527</v>
      </c>
      <c r="B46" s="236">
        <v>25441.744992318309</v>
      </c>
      <c r="C46" s="236">
        <v>26136.328666896396</v>
      </c>
      <c r="D46" s="236">
        <v>26739.624414652935</v>
      </c>
      <c r="E46" s="236">
        <v>27999.494088509528</v>
      </c>
      <c r="F46" s="236">
        <v>29072.200063705732</v>
      </c>
      <c r="G46" s="236">
        <v>30220.400559017427</v>
      </c>
      <c r="H46" s="236">
        <v>30358.581966237478</v>
      </c>
      <c r="I46" s="236">
        <v>32001.818502523616</v>
      </c>
      <c r="J46" s="236">
        <v>31807.184944857541</v>
      </c>
      <c r="K46" s="236">
        <v>31505.316610779493</v>
      </c>
      <c r="L46" s="236">
        <v>32428.242599013029</v>
      </c>
      <c r="M46" s="236">
        <v>32707.043068184641</v>
      </c>
      <c r="N46" s="236">
        <v>31621.270657548634</v>
      </c>
      <c r="O46" s="236">
        <v>31057.829101213589</v>
      </c>
      <c r="P46" s="236">
        <v>31763.023378072077</v>
      </c>
      <c r="Q46" s="236">
        <v>31965.597505412963</v>
      </c>
    </row>
    <row r="47" spans="1:17" ht="11.4" customHeight="1">
      <c r="A47" s="237" t="s">
        <v>524</v>
      </c>
      <c r="B47" s="236">
        <v>85.156348659775446</v>
      </c>
      <c r="C47" s="236">
        <v>100.16547845983986</v>
      </c>
      <c r="D47" s="236">
        <v>114.9151633328204</v>
      </c>
      <c r="E47" s="236">
        <v>134.85086441986016</v>
      </c>
      <c r="F47" s="236">
        <v>212.63862355728452</v>
      </c>
      <c r="G47" s="236">
        <v>317.24173504579107</v>
      </c>
      <c r="H47" s="236">
        <v>495.77027166827708</v>
      </c>
      <c r="I47" s="236">
        <v>803.70558274671248</v>
      </c>
      <c r="J47" s="236">
        <v>1177.4126127209097</v>
      </c>
      <c r="K47" s="236">
        <v>1465.4530638724893</v>
      </c>
      <c r="L47" s="236">
        <v>1616.7916779217358</v>
      </c>
      <c r="M47" s="236">
        <v>1686.4573859692437</v>
      </c>
      <c r="N47" s="236">
        <v>1728.3586619557141</v>
      </c>
      <c r="O47" s="236">
        <v>1626.4040866518026</v>
      </c>
      <c r="P47" s="236">
        <v>1789.1006938769103</v>
      </c>
      <c r="Q47" s="236">
        <v>1746.2122212764443</v>
      </c>
    </row>
    <row r="48" spans="1:17" ht="11.4" customHeight="1">
      <c r="A48" s="235" t="s">
        <v>528</v>
      </c>
      <c r="B48" s="236">
        <v>133.11750741269145</v>
      </c>
      <c r="C48" s="236">
        <v>175.38163034000956</v>
      </c>
      <c r="D48" s="236">
        <v>226.30057172626584</v>
      </c>
      <c r="E48" s="236">
        <v>252.44111289294273</v>
      </c>
      <c r="F48" s="236">
        <v>266.30119370201402</v>
      </c>
      <c r="G48" s="236">
        <v>277.25652176238685</v>
      </c>
      <c r="H48" s="236">
        <v>298.27008001543817</v>
      </c>
      <c r="I48" s="236">
        <v>300.52934263947856</v>
      </c>
      <c r="J48" s="236">
        <v>303.06801815170263</v>
      </c>
      <c r="K48" s="236">
        <v>289.69533463472408</v>
      </c>
      <c r="L48" s="236">
        <v>295.03746677601015</v>
      </c>
      <c r="M48" s="236">
        <v>296.63703338818914</v>
      </c>
      <c r="N48" s="236">
        <v>291.54878610530631</v>
      </c>
      <c r="O48" s="236">
        <v>285.96823975729507</v>
      </c>
      <c r="P48" s="236">
        <v>291.43034155054977</v>
      </c>
      <c r="Q48" s="236">
        <v>285.39623739724891</v>
      </c>
    </row>
    <row r="49" spans="1:17" ht="11.4" customHeight="1">
      <c r="A49" s="235" t="s">
        <v>529</v>
      </c>
      <c r="B49" s="236">
        <v>10.630740473599873</v>
      </c>
      <c r="C49" s="236">
        <v>12.316234160898045</v>
      </c>
      <c r="D49" s="236">
        <v>14.558653688682867</v>
      </c>
      <c r="E49" s="236">
        <v>17.242980779323226</v>
      </c>
      <c r="F49" s="236">
        <v>19.634216737157654</v>
      </c>
      <c r="G49" s="236">
        <v>22.738278122478047</v>
      </c>
      <c r="H49" s="236">
        <v>39.803072070666076</v>
      </c>
      <c r="I49" s="236">
        <v>47.008084989742947</v>
      </c>
      <c r="J49" s="236">
        <v>61.841427476137341</v>
      </c>
      <c r="K49" s="236">
        <v>82.309190942298997</v>
      </c>
      <c r="L49" s="236">
        <v>108.29308808679289</v>
      </c>
      <c r="M49" s="236">
        <v>114.75868008145662</v>
      </c>
      <c r="N49" s="236">
        <v>113.21163065607362</v>
      </c>
      <c r="O49" s="236">
        <v>118.69818118682198</v>
      </c>
      <c r="P49" s="236">
        <v>128.06161398646992</v>
      </c>
      <c r="Q49" s="236">
        <v>135.30737499632761</v>
      </c>
    </row>
    <row r="50" spans="1:17" ht="11.4" customHeight="1">
      <c r="A50" s="237" t="s">
        <v>530</v>
      </c>
      <c r="B50" s="236">
        <v>0</v>
      </c>
      <c r="C50" s="236">
        <v>0</v>
      </c>
      <c r="D50" s="236">
        <v>0</v>
      </c>
      <c r="E50" s="236">
        <v>0</v>
      </c>
      <c r="F50" s="236">
        <v>0</v>
      </c>
      <c r="G50" s="236">
        <v>0</v>
      </c>
      <c r="H50" s="236">
        <v>0</v>
      </c>
      <c r="I50" s="236">
        <v>0</v>
      </c>
      <c r="J50" s="236">
        <v>0.59661704824130946</v>
      </c>
      <c r="K50" s="236">
        <v>1.1155220378740216</v>
      </c>
      <c r="L50" s="236">
        <v>4.06403080291682</v>
      </c>
      <c r="M50" s="236">
        <v>4.7737346154974141</v>
      </c>
      <c r="N50" s="236">
        <v>7.5732081591071267</v>
      </c>
      <c r="O50" s="236">
        <v>8.7769970760021696</v>
      </c>
      <c r="P50" s="236">
        <v>9.7953864518574889</v>
      </c>
      <c r="Q50" s="236">
        <v>7.8802622102309474</v>
      </c>
    </row>
    <row r="51" spans="1:17" ht="11.4" customHeight="1">
      <c r="A51" s="235" t="s">
        <v>533</v>
      </c>
      <c r="B51" s="236">
        <v>2.3444751984031296</v>
      </c>
      <c r="C51" s="236">
        <v>2.5714038581714074</v>
      </c>
      <c r="D51" s="236">
        <v>2.6729385486643102</v>
      </c>
      <c r="E51" s="236">
        <v>2.7131428002250835</v>
      </c>
      <c r="F51" s="236">
        <v>3.3681480569831184</v>
      </c>
      <c r="G51" s="236">
        <v>3.3070968360276316</v>
      </c>
      <c r="H51" s="236">
        <v>3.3231766061707972</v>
      </c>
      <c r="I51" s="236">
        <v>3.3726269387329446</v>
      </c>
      <c r="J51" s="236">
        <v>3.139717563944262</v>
      </c>
      <c r="K51" s="236">
        <v>3.2684777949418544</v>
      </c>
      <c r="L51" s="236">
        <v>3.1819220872000611</v>
      </c>
      <c r="M51" s="236">
        <v>3.7274682410569451</v>
      </c>
      <c r="N51" s="236">
        <v>6.5540156249029193</v>
      </c>
      <c r="O51" s="236">
        <v>9.6750121981524941</v>
      </c>
      <c r="P51" s="236">
        <v>13.617172509610821</v>
      </c>
      <c r="Q51" s="236">
        <v>17.955233289512304</v>
      </c>
    </row>
    <row r="52" spans="1:17" ht="11.4" customHeight="1">
      <c r="A52" s="233" t="s">
        <v>537</v>
      </c>
      <c r="B52" s="234">
        <f>B53+B55</f>
        <v>62556.125845165901</v>
      </c>
      <c r="C52" s="234">
        <f t="shared" ref="C52:Q52" si="9">C53+C55</f>
        <v>64547.523146181004</v>
      </c>
      <c r="D52" s="234">
        <f t="shared" si="9"/>
        <v>65576.763324837724</v>
      </c>
      <c r="E52" s="234">
        <f t="shared" si="9"/>
        <v>67893.564499851534</v>
      </c>
      <c r="F52" s="234">
        <f t="shared" si="9"/>
        <v>71354.448610861858</v>
      </c>
      <c r="G52" s="234">
        <f t="shared" si="9"/>
        <v>73438.470559230715</v>
      </c>
      <c r="H52" s="234">
        <f t="shared" si="9"/>
        <v>75667.27933195309</v>
      </c>
      <c r="I52" s="234">
        <f t="shared" si="9"/>
        <v>78378.406529249769</v>
      </c>
      <c r="J52" s="234">
        <f t="shared" si="9"/>
        <v>76048.725426888588</v>
      </c>
      <c r="K52" s="234">
        <f t="shared" si="9"/>
        <v>70709.866596901498</v>
      </c>
      <c r="L52" s="234">
        <f t="shared" si="9"/>
        <v>72563.099442713952</v>
      </c>
      <c r="M52" s="234">
        <f t="shared" si="9"/>
        <v>71348.770258857039</v>
      </c>
      <c r="N52" s="234">
        <f t="shared" si="9"/>
        <v>68699.203918313156</v>
      </c>
      <c r="O52" s="234">
        <f t="shared" si="9"/>
        <v>67824.931101985159</v>
      </c>
      <c r="P52" s="234">
        <f t="shared" si="9"/>
        <v>67223.513088960157</v>
      </c>
      <c r="Q52" s="234">
        <f t="shared" si="9"/>
        <v>68704.655062285296</v>
      </c>
    </row>
    <row r="53" spans="1:17" ht="11.4" customHeight="1">
      <c r="A53" s="223" t="s">
        <v>538</v>
      </c>
      <c r="B53" s="238">
        <v>46965.8201600229</v>
      </c>
      <c r="C53" s="238">
        <v>48554.077985447919</v>
      </c>
      <c r="D53" s="238">
        <v>48964.595499970259</v>
      </c>
      <c r="E53" s="238">
        <v>50412.831437546512</v>
      </c>
      <c r="F53" s="238">
        <v>53085.601177529097</v>
      </c>
      <c r="G53" s="238">
        <v>54625.327047683677</v>
      </c>
      <c r="H53" s="238">
        <v>55524.211519507124</v>
      </c>
      <c r="I53" s="238">
        <v>58114.020739659427</v>
      </c>
      <c r="J53" s="238">
        <v>56398.445317504738</v>
      </c>
      <c r="K53" s="238">
        <v>52733.810982045616</v>
      </c>
      <c r="L53" s="238">
        <v>52609.867130546379</v>
      </c>
      <c r="M53" s="238">
        <v>51692.688652976271</v>
      </c>
      <c r="N53" s="238">
        <v>48460.279141709405</v>
      </c>
      <c r="O53" s="238">
        <v>46986.538693734969</v>
      </c>
      <c r="P53" s="238">
        <v>47562.975114432862</v>
      </c>
      <c r="Q53" s="238">
        <v>48245.434062880871</v>
      </c>
    </row>
    <row r="54" spans="1:17" ht="11.4" customHeight="1">
      <c r="A54" s="237" t="s">
        <v>524</v>
      </c>
      <c r="B54" s="238">
        <v>208.43764581680824</v>
      </c>
      <c r="C54" s="238">
        <v>249.55094694659277</v>
      </c>
      <c r="D54" s="238">
        <v>318.28836206219501</v>
      </c>
      <c r="E54" s="238">
        <v>404.32152366442489</v>
      </c>
      <c r="F54" s="238">
        <v>521.43731738210499</v>
      </c>
      <c r="G54" s="238">
        <v>860.67400340792005</v>
      </c>
      <c r="H54" s="238">
        <v>1458.2731374669297</v>
      </c>
      <c r="I54" s="238">
        <v>2058.6967873727335</v>
      </c>
      <c r="J54" s="238">
        <v>2352.8306158224359</v>
      </c>
      <c r="K54" s="238">
        <v>2512.390242458689</v>
      </c>
      <c r="L54" s="238">
        <v>2733.4263091212342</v>
      </c>
      <c r="M54" s="238">
        <v>2797.727808811745</v>
      </c>
      <c r="N54" s="238">
        <v>2835.1956939517345</v>
      </c>
      <c r="O54" s="238">
        <v>2406.6660559870179</v>
      </c>
      <c r="P54" s="238">
        <v>2658.296211560878</v>
      </c>
      <c r="Q54" s="238">
        <v>2576.2787291151872</v>
      </c>
    </row>
    <row r="55" spans="1:17" ht="11.4" customHeight="1">
      <c r="A55" s="223" t="s">
        <v>539</v>
      </c>
      <c r="B55" s="238">
        <v>15590.305685142999</v>
      </c>
      <c r="C55" s="238">
        <v>15993.445160733083</v>
      </c>
      <c r="D55" s="238">
        <v>16612.167824867473</v>
      </c>
      <c r="E55" s="238">
        <v>17480.733062305022</v>
      </c>
      <c r="F55" s="238">
        <v>18268.847433332758</v>
      </c>
      <c r="G55" s="238">
        <v>18813.143511547045</v>
      </c>
      <c r="H55" s="238">
        <v>20143.067812445959</v>
      </c>
      <c r="I55" s="238">
        <v>20264.385789590346</v>
      </c>
      <c r="J55" s="238">
        <v>19650.280109383857</v>
      </c>
      <c r="K55" s="238">
        <v>17976.055614855883</v>
      </c>
      <c r="L55" s="238">
        <v>19953.232312167576</v>
      </c>
      <c r="M55" s="238">
        <v>19656.081605880772</v>
      </c>
      <c r="N55" s="238">
        <v>20238.924776603748</v>
      </c>
      <c r="O55" s="238">
        <v>20838.392408250198</v>
      </c>
      <c r="P55" s="238">
        <v>19660.537974527291</v>
      </c>
      <c r="Q55" s="238">
        <v>20459.220999404424</v>
      </c>
    </row>
    <row r="56" spans="1:17" ht="11.4" customHeight="1">
      <c r="A56" s="241" t="s">
        <v>524</v>
      </c>
      <c r="B56" s="242">
        <v>91.900100200287923</v>
      </c>
      <c r="C56" s="242">
        <v>99.016170099631751</v>
      </c>
      <c r="D56" s="242">
        <v>122.88777502849508</v>
      </c>
      <c r="E56" s="242">
        <v>141.31656887497476</v>
      </c>
      <c r="F56" s="242">
        <v>154.15320242966069</v>
      </c>
      <c r="G56" s="242">
        <v>238.72252119168826</v>
      </c>
      <c r="H56" s="242">
        <v>469.73353925680743</v>
      </c>
      <c r="I56" s="242">
        <v>639.91745705401866</v>
      </c>
      <c r="J56" s="242">
        <v>736.68563000942038</v>
      </c>
      <c r="K56" s="242">
        <v>834.62800781947431</v>
      </c>
      <c r="L56" s="242">
        <v>1008.3008940666764</v>
      </c>
      <c r="M56" s="242">
        <v>1026.70948479198</v>
      </c>
      <c r="N56" s="242">
        <v>1169.8947530364155</v>
      </c>
      <c r="O56" s="242">
        <v>1135.2514939138118</v>
      </c>
      <c r="P56" s="242">
        <v>1158.3862682598292</v>
      </c>
      <c r="Q56" s="242">
        <v>1184.1803881672447</v>
      </c>
    </row>
    <row r="58" spans="1:17" ht="11.4" customHeight="1">
      <c r="A58" s="243" t="s">
        <v>540</v>
      </c>
      <c r="B58" s="244"/>
      <c r="C58" s="244"/>
      <c r="D58" s="244"/>
      <c r="E58" s="244"/>
      <c r="F58" s="244"/>
      <c r="G58" s="244"/>
      <c r="H58" s="244"/>
      <c r="I58" s="244"/>
      <c r="J58" s="244"/>
      <c r="K58" s="244"/>
      <c r="L58" s="244"/>
      <c r="M58" s="245"/>
      <c r="N58" s="245"/>
      <c r="O58" s="245"/>
      <c r="P58" s="245"/>
      <c r="Q58" s="245"/>
    </row>
    <row r="60" spans="1:17" ht="11.4" customHeight="1">
      <c r="A60" s="217" t="s">
        <v>541</v>
      </c>
      <c r="B60" s="226">
        <v>9.4006960702064113</v>
      </c>
      <c r="C60" s="226">
        <v>9.2537161457268855</v>
      </c>
      <c r="D60" s="226">
        <v>9.2065777574983372</v>
      </c>
      <c r="E60" s="226">
        <v>9.193274282152279</v>
      </c>
      <c r="F60" s="226">
        <v>9.1234023505667725</v>
      </c>
      <c r="G60" s="226">
        <v>9.1435553821792581</v>
      </c>
      <c r="H60" s="226">
        <v>9.1517546088847865</v>
      </c>
      <c r="I60" s="226">
        <v>9.1071333769116372</v>
      </c>
      <c r="J60" s="226">
        <v>8.9110936129952822</v>
      </c>
      <c r="K60" s="226">
        <v>8.6259110487207167</v>
      </c>
      <c r="L60" s="226">
        <v>8.617460516909988</v>
      </c>
      <c r="M60" s="226">
        <v>8.5158545013712903</v>
      </c>
      <c r="N60" s="226">
        <v>8.3873783292504029</v>
      </c>
      <c r="O60" s="226">
        <v>8.2747046516324438</v>
      </c>
      <c r="P60" s="226">
        <v>8.1420718266916214</v>
      </c>
      <c r="Q60" s="226">
        <v>8.0837977578146347</v>
      </c>
    </row>
    <row r="61" spans="1:17" ht="11.4" customHeight="1">
      <c r="A61" s="227" t="s">
        <v>522</v>
      </c>
      <c r="B61" s="228">
        <v>7.5103033745857752</v>
      </c>
      <c r="C61" s="228">
        <v>7.3575750676139622</v>
      </c>
      <c r="D61" s="228">
        <v>7.3195878066894444</v>
      </c>
      <c r="E61" s="228">
        <v>7.2538064282979491</v>
      </c>
      <c r="F61" s="228">
        <v>7.1545911508098747</v>
      </c>
      <c r="G61" s="228">
        <v>7.1190292090280938</v>
      </c>
      <c r="H61" s="228">
        <v>7.1129895291898739</v>
      </c>
      <c r="I61" s="228">
        <v>7.0333653463009602</v>
      </c>
      <c r="J61" s="228">
        <v>6.8957357471931795</v>
      </c>
      <c r="K61" s="228">
        <v>6.7396576805581949</v>
      </c>
      <c r="L61" s="228">
        <v>6.6642080900308072</v>
      </c>
      <c r="M61" s="228">
        <v>6.5959756058546652</v>
      </c>
      <c r="N61" s="228">
        <v>6.4988838054387408</v>
      </c>
      <c r="O61" s="228">
        <v>6.4228410439380008</v>
      </c>
      <c r="P61" s="228">
        <v>6.3691446356124644</v>
      </c>
      <c r="Q61" s="228">
        <v>6.3087022886119897</v>
      </c>
    </row>
    <row r="62" spans="1:17" ht="11.4" customHeight="1">
      <c r="A62" s="239" t="s">
        <v>542</v>
      </c>
      <c r="B62" s="240">
        <v>4.1963017639357743</v>
      </c>
      <c r="C62" s="240">
        <v>4.1624390196989935</v>
      </c>
      <c r="D62" s="240">
        <v>4.1269877328623155</v>
      </c>
      <c r="E62" s="240">
        <v>4.0944411915909855</v>
      </c>
      <c r="F62" s="240">
        <v>4.0496346990647156</v>
      </c>
      <c r="G62" s="240">
        <v>4.0171079026506611</v>
      </c>
      <c r="H62" s="240">
        <v>3.971467829931405</v>
      </c>
      <c r="I62" s="240">
        <v>3.9238430913590396</v>
      </c>
      <c r="J62" s="240">
        <v>3.8793395321790247</v>
      </c>
      <c r="K62" s="240">
        <v>3.8590382093787299</v>
      </c>
      <c r="L62" s="240">
        <v>3.8364643852615634</v>
      </c>
      <c r="M62" s="240">
        <v>3.8069738841584266</v>
      </c>
      <c r="N62" s="240">
        <v>3.7655701323447075</v>
      </c>
      <c r="O62" s="240">
        <v>3.7200483700988025</v>
      </c>
      <c r="P62" s="240">
        <v>3.6827174923680359</v>
      </c>
      <c r="Q62" s="240">
        <v>3.6585806827258023</v>
      </c>
    </row>
    <row r="63" spans="1:17" ht="11.4" customHeight="1">
      <c r="A63" s="233" t="s">
        <v>525</v>
      </c>
      <c r="B63" s="234">
        <v>7.0951084160648863</v>
      </c>
      <c r="C63" s="234">
        <v>6.9534251322786398</v>
      </c>
      <c r="D63" s="234">
        <v>6.9274034152668529</v>
      </c>
      <c r="E63" s="234">
        <v>6.864969718965348</v>
      </c>
      <c r="F63" s="234">
        <v>6.7737291629120167</v>
      </c>
      <c r="G63" s="234">
        <v>6.7468355284101014</v>
      </c>
      <c r="H63" s="234">
        <v>6.7450530063809033</v>
      </c>
      <c r="I63" s="234">
        <v>6.6671552024001723</v>
      </c>
      <c r="J63" s="234">
        <v>6.53134340107</v>
      </c>
      <c r="K63" s="234">
        <v>6.3826779314199511</v>
      </c>
      <c r="L63" s="234">
        <v>6.3055223083181469</v>
      </c>
      <c r="M63" s="234">
        <v>6.2398647575168349</v>
      </c>
      <c r="N63" s="234">
        <v>6.1463776902218488</v>
      </c>
      <c r="O63" s="234">
        <v>6.0699810810418038</v>
      </c>
      <c r="P63" s="234">
        <v>6.0262278847479394</v>
      </c>
      <c r="Q63" s="234">
        <v>5.9582658979213239</v>
      </c>
    </row>
    <row r="64" spans="1:17" ht="11.4" customHeight="1">
      <c r="A64" s="235" t="s">
        <v>526</v>
      </c>
      <c r="B64" s="236">
        <v>7.3647596517058167</v>
      </c>
      <c r="C64" s="236">
        <v>7.2670268690150381</v>
      </c>
      <c r="D64" s="236">
        <v>7.2852354055069553</v>
      </c>
      <c r="E64" s="236">
        <v>7.2646416225357324</v>
      </c>
      <c r="F64" s="236">
        <v>7.2467399724019543</v>
      </c>
      <c r="G64" s="236">
        <v>7.2417879193719799</v>
      </c>
      <c r="H64" s="236">
        <v>7.2863055930277598</v>
      </c>
      <c r="I64" s="236">
        <v>7.242656889453901</v>
      </c>
      <c r="J64" s="236">
        <v>7.0915079549018936</v>
      </c>
      <c r="K64" s="236">
        <v>6.9238817224677769</v>
      </c>
      <c r="L64" s="236">
        <v>6.8148129745298158</v>
      </c>
      <c r="M64" s="236">
        <v>6.735149928524466</v>
      </c>
      <c r="N64" s="236">
        <v>6.6571395444937007</v>
      </c>
      <c r="O64" s="236">
        <v>6.5666021845308205</v>
      </c>
      <c r="P64" s="236">
        <v>6.5122560324314671</v>
      </c>
      <c r="Q64" s="236">
        <v>6.3865151791048582</v>
      </c>
    </row>
    <row r="65" spans="1:17" ht="11.4" customHeight="1">
      <c r="A65" s="235" t="s">
        <v>527</v>
      </c>
      <c r="B65" s="236">
        <v>6.3943330432199321</v>
      </c>
      <c r="C65" s="236">
        <v>6.217973305590796</v>
      </c>
      <c r="D65" s="236">
        <v>6.1681414705898669</v>
      </c>
      <c r="E65" s="236">
        <v>6.1157201950273414</v>
      </c>
      <c r="F65" s="236">
        <v>5.9999896223520857</v>
      </c>
      <c r="G65" s="236">
        <v>5.9950653679128525</v>
      </c>
      <c r="H65" s="236">
        <v>6.0281859813739374</v>
      </c>
      <c r="I65" s="236">
        <v>5.9814382055022843</v>
      </c>
      <c r="J65" s="236">
        <v>5.9022347652721177</v>
      </c>
      <c r="K65" s="236">
        <v>5.803603836869323</v>
      </c>
      <c r="L65" s="236">
        <v>5.7943724946438069</v>
      </c>
      <c r="M65" s="236">
        <v>5.7456956584002139</v>
      </c>
      <c r="N65" s="236">
        <v>5.6727665984557518</v>
      </c>
      <c r="O65" s="236">
        <v>5.6165152085438246</v>
      </c>
      <c r="P65" s="236">
        <v>5.6089304702798604</v>
      </c>
      <c r="Q65" s="236">
        <v>5.6028890655067141</v>
      </c>
    </row>
    <row r="66" spans="1:17" ht="11.4" customHeight="1">
      <c r="A66" s="235" t="s">
        <v>528</v>
      </c>
      <c r="B66" s="236">
        <v>7.3290972575199937</v>
      </c>
      <c r="C66" s="236">
        <v>7.3085265768467425</v>
      </c>
      <c r="D66" s="236">
        <v>7.358782782629965</v>
      </c>
      <c r="E66" s="236">
        <v>7.2445377039464169</v>
      </c>
      <c r="F66" s="236">
        <v>7.2249368783058374</v>
      </c>
      <c r="G66" s="236">
        <v>7.4142759390460871</v>
      </c>
      <c r="H66" s="236">
        <v>7.4206869475010953</v>
      </c>
      <c r="I66" s="236">
        <v>7.0913929100278512</v>
      </c>
      <c r="J66" s="236">
        <v>7.1347939246718433</v>
      </c>
      <c r="K66" s="236">
        <v>7.0531031198481493</v>
      </c>
      <c r="L66" s="236">
        <v>6.8014663872441874</v>
      </c>
      <c r="M66" s="236">
        <v>7.2127458965931011</v>
      </c>
      <c r="N66" s="236">
        <v>7.1920578069636925</v>
      </c>
      <c r="O66" s="236">
        <v>7.3062617741459253</v>
      </c>
      <c r="P66" s="236">
        <v>7.1884237496353167</v>
      </c>
      <c r="Q66" s="236">
        <v>7.0137068919672734</v>
      </c>
    </row>
    <row r="67" spans="1:17" ht="11.4" customHeight="1">
      <c r="A67" s="235" t="s">
        <v>529</v>
      </c>
      <c r="B67" s="236">
        <v>7.7764096115910268</v>
      </c>
      <c r="C67" s="236">
        <v>7.6848892376365718</v>
      </c>
      <c r="D67" s="236">
        <v>7.6662032149887747</v>
      </c>
      <c r="E67" s="236">
        <v>7.6671196235221801</v>
      </c>
      <c r="F67" s="236">
        <v>7.7224584264917473</v>
      </c>
      <c r="G67" s="236">
        <v>7.7604425105337729</v>
      </c>
      <c r="H67" s="236">
        <v>7.6382876959372989</v>
      </c>
      <c r="I67" s="236">
        <v>7.6861012963261075</v>
      </c>
      <c r="J67" s="236">
        <v>7.4450467424805833</v>
      </c>
      <c r="K67" s="236">
        <v>7.2132105295827174</v>
      </c>
      <c r="L67" s="236">
        <v>7.0655224683110678</v>
      </c>
      <c r="M67" s="236">
        <v>7.0381672493477501</v>
      </c>
      <c r="N67" s="236">
        <v>7.0006549944156964</v>
      </c>
      <c r="O67" s="236">
        <v>6.8876136639625161</v>
      </c>
      <c r="P67" s="236">
        <v>6.7480437110879352</v>
      </c>
      <c r="Q67" s="236">
        <v>6.6538761604813743</v>
      </c>
    </row>
    <row r="68" spans="1:17" ht="11.4" customHeight="1">
      <c r="A68" s="235" t="s">
        <v>543</v>
      </c>
      <c r="B68" s="236" t="s">
        <v>658</v>
      </c>
      <c r="C68" s="236" t="s">
        <v>658</v>
      </c>
      <c r="D68" s="236" t="s">
        <v>658</v>
      </c>
      <c r="E68" s="236" t="s">
        <v>658</v>
      </c>
      <c r="F68" s="236" t="s">
        <v>658</v>
      </c>
      <c r="G68" s="236" t="s">
        <v>658</v>
      </c>
      <c r="H68" s="236" t="s">
        <v>658</v>
      </c>
      <c r="I68" s="236" t="s">
        <v>658</v>
      </c>
      <c r="J68" s="236">
        <v>3.6045237902128435</v>
      </c>
      <c r="K68" s="236">
        <v>3.6798822667779576</v>
      </c>
      <c r="L68" s="236">
        <v>3.8159903515238667</v>
      </c>
      <c r="M68" s="236">
        <v>3.6495511841934549</v>
      </c>
      <c r="N68" s="236">
        <v>3.7921019999867434</v>
      </c>
      <c r="O68" s="236">
        <v>4.0862252117283715</v>
      </c>
      <c r="P68" s="236">
        <v>4.1475751708882296</v>
      </c>
      <c r="Q68" s="236">
        <v>3.8913751609521223</v>
      </c>
    </row>
    <row r="69" spans="1:17" ht="11.4" customHeight="1">
      <c r="A69" s="235" t="s">
        <v>533</v>
      </c>
      <c r="B69" s="236" t="s">
        <v>658</v>
      </c>
      <c r="C69" s="236" t="s">
        <v>658</v>
      </c>
      <c r="D69" s="236" t="s">
        <v>658</v>
      </c>
      <c r="E69" s="236">
        <v>2.6197125799083567</v>
      </c>
      <c r="F69" s="236">
        <v>2.6219065079379207</v>
      </c>
      <c r="G69" s="236">
        <v>2.625660982391345</v>
      </c>
      <c r="H69" s="236">
        <v>2.8029660367195381</v>
      </c>
      <c r="I69" s="236">
        <v>2.800653100069789</v>
      </c>
      <c r="J69" s="236">
        <v>2.953954501227205</v>
      </c>
      <c r="K69" s="236">
        <v>2.9637620063136669</v>
      </c>
      <c r="L69" s="236">
        <v>2.7540211428774817</v>
      </c>
      <c r="M69" s="236">
        <v>2.7670078352784526</v>
      </c>
      <c r="N69" s="236">
        <v>2.8016167990795822</v>
      </c>
      <c r="O69" s="236">
        <v>2.8327686054786767</v>
      </c>
      <c r="P69" s="236">
        <v>2.8644390392344814</v>
      </c>
      <c r="Q69" s="236">
        <v>2.8918502445213576</v>
      </c>
    </row>
    <row r="70" spans="1:17" ht="11.4" customHeight="1">
      <c r="A70" s="233" t="s">
        <v>534</v>
      </c>
      <c r="B70" s="234">
        <v>57.712778349070327</v>
      </c>
      <c r="C70" s="234">
        <v>57.138157843533797</v>
      </c>
      <c r="D70" s="234">
        <v>56.734824280022409</v>
      </c>
      <c r="E70" s="234">
        <v>56.581313361409023</v>
      </c>
      <c r="F70" s="234">
        <v>56.214302037541039</v>
      </c>
      <c r="G70" s="234">
        <v>55.574736212616656</v>
      </c>
      <c r="H70" s="234">
        <v>55.253267783213168</v>
      </c>
      <c r="I70" s="234">
        <v>54.647011578133451</v>
      </c>
      <c r="J70" s="234">
        <v>54.288841852888872</v>
      </c>
      <c r="K70" s="234">
        <v>53.897794598418614</v>
      </c>
      <c r="L70" s="234">
        <v>53.629669421162284</v>
      </c>
      <c r="M70" s="234">
        <v>53.10234630246152</v>
      </c>
      <c r="N70" s="234">
        <v>52.813798284804683</v>
      </c>
      <c r="O70" s="234">
        <v>52.387469667075571</v>
      </c>
      <c r="P70" s="234">
        <v>52.180587068593574</v>
      </c>
      <c r="Q70" s="234">
        <v>52.22306744785282</v>
      </c>
    </row>
    <row r="71" spans="1:17" ht="11.4" customHeight="1">
      <c r="A71" s="235" t="s">
        <v>526</v>
      </c>
      <c r="B71" s="238">
        <v>19.50492658986327</v>
      </c>
      <c r="C71" s="238">
        <v>19.422804873501835</v>
      </c>
      <c r="D71" s="238">
        <v>19.354587740554532</v>
      </c>
      <c r="E71" s="238">
        <v>19.429188184922712</v>
      </c>
      <c r="F71" s="238">
        <v>19.43999959750445</v>
      </c>
      <c r="G71" s="238">
        <v>19.431425793306651</v>
      </c>
      <c r="H71" s="238">
        <v>19.452975551710523</v>
      </c>
      <c r="I71" s="238">
        <v>19.229237042431755</v>
      </c>
      <c r="J71" s="238">
        <v>19.026506914249744</v>
      </c>
      <c r="K71" s="238">
        <v>18.917967140037646</v>
      </c>
      <c r="L71" s="238">
        <v>18.729004582660373</v>
      </c>
      <c r="M71" s="238">
        <v>18.501466009066693</v>
      </c>
      <c r="N71" s="238">
        <v>18.390094259295527</v>
      </c>
      <c r="O71" s="238">
        <v>17.768227973657559</v>
      </c>
      <c r="P71" s="238">
        <v>17.658724079495791</v>
      </c>
      <c r="Q71" s="238">
        <v>17.567883826391661</v>
      </c>
    </row>
    <row r="72" spans="1:17" ht="11.4" customHeight="1">
      <c r="A72" s="235" t="s">
        <v>527</v>
      </c>
      <c r="B72" s="238">
        <v>58.353105016335341</v>
      </c>
      <c r="C72" s="238">
        <v>57.783114511741942</v>
      </c>
      <c r="D72" s="238">
        <v>57.37726876986725</v>
      </c>
      <c r="E72" s="238">
        <v>57.151490693451926</v>
      </c>
      <c r="F72" s="238">
        <v>56.734178427471619</v>
      </c>
      <c r="G72" s="238">
        <v>56.120638531548892</v>
      </c>
      <c r="H72" s="238">
        <v>55.801956070384421</v>
      </c>
      <c r="I72" s="238">
        <v>55.16839623068018</v>
      </c>
      <c r="J72" s="238">
        <v>54.829273277620381</v>
      </c>
      <c r="K72" s="238">
        <v>54.463632106916315</v>
      </c>
      <c r="L72" s="238">
        <v>54.200978442913147</v>
      </c>
      <c r="M72" s="238">
        <v>53.71494768517617</v>
      </c>
      <c r="N72" s="238">
        <v>53.357644292688263</v>
      </c>
      <c r="O72" s="238">
        <v>52.952643171114403</v>
      </c>
      <c r="P72" s="238">
        <v>52.768064744292396</v>
      </c>
      <c r="Q72" s="238">
        <v>52.760263622875833</v>
      </c>
    </row>
    <row r="73" spans="1:17" ht="11.4" customHeight="1">
      <c r="A73" s="235" t="s">
        <v>528</v>
      </c>
      <c r="B73" s="238">
        <v>45.442095390413634</v>
      </c>
      <c r="C73" s="238">
        <v>45.405412488552251</v>
      </c>
      <c r="D73" s="238">
        <v>45.486631444444839</v>
      </c>
      <c r="E73" s="238">
        <v>45.510739300294979</v>
      </c>
      <c r="F73" s="238">
        <v>44.329374877190176</v>
      </c>
      <c r="G73" s="238">
        <v>44.261426878680219</v>
      </c>
      <c r="H73" s="238">
        <v>44.21570029683425</v>
      </c>
      <c r="I73" s="238">
        <v>44.174387958951435</v>
      </c>
      <c r="J73" s="238">
        <v>44.158322221895943</v>
      </c>
      <c r="K73" s="238">
        <v>44.077923554689349</v>
      </c>
      <c r="L73" s="238">
        <v>44.098230805539409</v>
      </c>
      <c r="M73" s="238">
        <v>44.100929004108643</v>
      </c>
      <c r="N73" s="238">
        <v>44.146765968046182</v>
      </c>
      <c r="O73" s="238">
        <v>44.188378193378135</v>
      </c>
      <c r="P73" s="238">
        <v>44.222177565074851</v>
      </c>
      <c r="Q73" s="238">
        <v>44.258560431281815</v>
      </c>
    </row>
    <row r="74" spans="1:17" ht="11.4" customHeight="1">
      <c r="A74" s="235" t="s">
        <v>529</v>
      </c>
      <c r="B74" s="238">
        <v>46.689531908045545</v>
      </c>
      <c r="C74" s="238">
        <v>45.797225932600398</v>
      </c>
      <c r="D74" s="238">
        <v>43.693696949235381</v>
      </c>
      <c r="E74" s="238">
        <v>46.532633369020147</v>
      </c>
      <c r="F74" s="238">
        <v>47.844558917625932</v>
      </c>
      <c r="G74" s="238">
        <v>44.8128292256145</v>
      </c>
      <c r="H74" s="238">
        <v>45.361891328520656</v>
      </c>
      <c r="I74" s="238">
        <v>45.122121686983348</v>
      </c>
      <c r="J74" s="238">
        <v>43.923820227188266</v>
      </c>
      <c r="K74" s="238">
        <v>43.549873559823936</v>
      </c>
      <c r="L74" s="238">
        <v>43.878851843900911</v>
      </c>
      <c r="M74" s="238">
        <v>43.549982812559364</v>
      </c>
      <c r="N74" s="238">
        <v>45.667041393962556</v>
      </c>
      <c r="O74" s="238">
        <v>45.958930105035506</v>
      </c>
      <c r="P74" s="238">
        <v>45.08794908046039</v>
      </c>
      <c r="Q74" s="238">
        <v>47.742687156919985</v>
      </c>
    </row>
    <row r="75" spans="1:17" ht="11.4" customHeight="1">
      <c r="A75" s="235" t="s">
        <v>533</v>
      </c>
      <c r="B75" s="238">
        <v>33.103393903940024</v>
      </c>
      <c r="C75" s="238">
        <v>32.910189755478775</v>
      </c>
      <c r="D75" s="238">
        <v>32.83269094146543</v>
      </c>
      <c r="E75" s="238">
        <v>32.795986766394435</v>
      </c>
      <c r="F75" s="238">
        <v>32.726183914110038</v>
      </c>
      <c r="G75" s="238">
        <v>31.830209343694932</v>
      </c>
      <c r="H75" s="238">
        <v>31.650160921587172</v>
      </c>
      <c r="I75" s="238">
        <v>31.703300593371324</v>
      </c>
      <c r="J75" s="238">
        <v>31.814557375924679</v>
      </c>
      <c r="K75" s="238">
        <v>31.891041019381035</v>
      </c>
      <c r="L75" s="238">
        <v>31.591585302910651</v>
      </c>
      <c r="M75" s="238">
        <v>31.373619273122706</v>
      </c>
      <c r="N75" s="238">
        <v>31.358137984000972</v>
      </c>
      <c r="O75" s="238">
        <v>29.905532371277271</v>
      </c>
      <c r="P75" s="238">
        <v>29.269461840984732</v>
      </c>
      <c r="Q75" s="238">
        <v>29.215008993649604</v>
      </c>
    </row>
    <row r="76" spans="1:17" ht="11.4" customHeight="1">
      <c r="A76" s="227" t="s">
        <v>535</v>
      </c>
      <c r="B76" s="228">
        <v>19.463392457399323</v>
      </c>
      <c r="C76" s="228">
        <v>19.298849831018394</v>
      </c>
      <c r="D76" s="228">
        <v>19.165057835939312</v>
      </c>
      <c r="E76" s="228">
        <v>19.111235765043773</v>
      </c>
      <c r="F76" s="228">
        <v>18.941377207132199</v>
      </c>
      <c r="G76" s="228">
        <v>18.856781876535408</v>
      </c>
      <c r="H76" s="228">
        <v>19.026125410205584</v>
      </c>
      <c r="I76" s="228">
        <v>18.817712851895475</v>
      </c>
      <c r="J76" s="228">
        <v>18.50796412851</v>
      </c>
      <c r="K76" s="228">
        <v>18.009795854427836</v>
      </c>
      <c r="L76" s="228">
        <v>18.036242829343042</v>
      </c>
      <c r="M76" s="228">
        <v>17.697259915835616</v>
      </c>
      <c r="N76" s="228">
        <v>17.606330164787579</v>
      </c>
      <c r="O76" s="228">
        <v>17.380016487297315</v>
      </c>
      <c r="P76" s="228">
        <v>16.953823928795757</v>
      </c>
      <c r="Q76" s="228">
        <v>16.953905482557762</v>
      </c>
    </row>
    <row r="77" spans="1:17" ht="11.4" customHeight="1">
      <c r="A77" s="239" t="s">
        <v>536</v>
      </c>
      <c r="B77" s="240">
        <v>8.8292099572441209</v>
      </c>
      <c r="C77" s="240">
        <v>8.6564085536109374</v>
      </c>
      <c r="D77" s="240">
        <v>8.5798100231442582</v>
      </c>
      <c r="E77" s="240">
        <v>8.4822082932857334</v>
      </c>
      <c r="F77" s="240">
        <v>8.375093064380815</v>
      </c>
      <c r="G77" s="240">
        <v>8.3037017133321847</v>
      </c>
      <c r="H77" s="240">
        <v>8.2251562009700478</v>
      </c>
      <c r="I77" s="240">
        <v>8.1354908272553512</v>
      </c>
      <c r="J77" s="240">
        <v>8.0661007187866538</v>
      </c>
      <c r="K77" s="240">
        <v>7.9884053613369934</v>
      </c>
      <c r="L77" s="240">
        <v>7.9301895962115996</v>
      </c>
      <c r="M77" s="240">
        <v>7.8655085926380695</v>
      </c>
      <c r="N77" s="240">
        <v>7.815685404159713</v>
      </c>
      <c r="O77" s="240">
        <v>7.7210658850818277</v>
      </c>
      <c r="P77" s="240">
        <v>7.6364309237973051</v>
      </c>
      <c r="Q77" s="240">
        <v>7.5788705779275904</v>
      </c>
    </row>
    <row r="78" spans="1:17" ht="11.4" customHeight="1">
      <c r="A78" s="235" t="s">
        <v>526</v>
      </c>
      <c r="B78" s="236">
        <v>9.1764945935409603</v>
      </c>
      <c r="C78" s="236">
        <v>9.0813180773799864</v>
      </c>
      <c r="D78" s="236">
        <v>9.0326151681649574</v>
      </c>
      <c r="E78" s="236">
        <v>8.9617193867578084</v>
      </c>
      <c r="F78" s="236">
        <v>8.8778444634866833</v>
      </c>
      <c r="G78" s="236">
        <v>8.8306489436566835</v>
      </c>
      <c r="H78" s="236">
        <v>8.7430704659668521</v>
      </c>
      <c r="I78" s="236">
        <v>8.6853071134744209</v>
      </c>
      <c r="J78" s="236">
        <v>8.4992726748827554</v>
      </c>
      <c r="K78" s="236">
        <v>8.3802200918373302</v>
      </c>
      <c r="L78" s="236">
        <v>8.2063082663950535</v>
      </c>
      <c r="M78" s="236">
        <v>8.1170126211126856</v>
      </c>
      <c r="N78" s="236">
        <v>8.0380806245190346</v>
      </c>
      <c r="O78" s="236">
        <v>7.9279763789762256</v>
      </c>
      <c r="P78" s="236">
        <v>7.8306560279117132</v>
      </c>
      <c r="Q78" s="236">
        <v>7.736378461058524</v>
      </c>
    </row>
    <row r="79" spans="1:17" ht="11.4" customHeight="1">
      <c r="A79" s="235" t="s">
        <v>527</v>
      </c>
      <c r="B79" s="236">
        <v>8.7570958878720191</v>
      </c>
      <c r="C79" s="236">
        <v>8.5752872289115167</v>
      </c>
      <c r="D79" s="236">
        <v>8.4996734871037347</v>
      </c>
      <c r="E79" s="236">
        <v>8.4053082039871008</v>
      </c>
      <c r="F79" s="236">
        <v>8.3027575184566693</v>
      </c>
      <c r="G79" s="236">
        <v>8.2354743603976051</v>
      </c>
      <c r="H79" s="236">
        <v>8.1610355661580041</v>
      </c>
      <c r="I79" s="236">
        <v>8.0748278340257329</v>
      </c>
      <c r="J79" s="236">
        <v>8.0173718534577461</v>
      </c>
      <c r="K79" s="236">
        <v>7.9453251488318095</v>
      </c>
      <c r="L79" s="236">
        <v>7.8973931838701885</v>
      </c>
      <c r="M79" s="236">
        <v>7.8355826359515506</v>
      </c>
      <c r="N79" s="236">
        <v>7.7884999856622574</v>
      </c>
      <c r="O79" s="236">
        <v>7.6947951617562733</v>
      </c>
      <c r="P79" s="236">
        <v>7.6124596191908953</v>
      </c>
      <c r="Q79" s="236">
        <v>7.5575374760162823</v>
      </c>
    </row>
    <row r="80" spans="1:17" ht="11.4" customHeight="1">
      <c r="A80" s="235" t="s">
        <v>528</v>
      </c>
      <c r="B80" s="236">
        <v>11.411131351510978</v>
      </c>
      <c r="C80" s="236">
        <v>11.036506952724261</v>
      </c>
      <c r="D80" s="236">
        <v>10.597429177637384</v>
      </c>
      <c r="E80" s="236">
        <v>10.377497917957708</v>
      </c>
      <c r="F80" s="236">
        <v>10.31983294932758</v>
      </c>
      <c r="G80" s="236">
        <v>10.153300354743935</v>
      </c>
      <c r="H80" s="236">
        <v>9.9448563517380926</v>
      </c>
      <c r="I80" s="236">
        <v>9.8391564530557805</v>
      </c>
      <c r="J80" s="236">
        <v>9.7537364496036094</v>
      </c>
      <c r="K80" s="236">
        <v>9.6181287383479841</v>
      </c>
      <c r="L80" s="236">
        <v>9.5411853389184813</v>
      </c>
      <c r="M80" s="236">
        <v>9.494449836249176</v>
      </c>
      <c r="N80" s="236">
        <v>9.4796253083320003</v>
      </c>
      <c r="O80" s="236">
        <v>9.4791130010026023</v>
      </c>
      <c r="P80" s="236">
        <v>9.3446252302862653</v>
      </c>
      <c r="Q80" s="236">
        <v>9.3206204449103875</v>
      </c>
    </row>
    <row r="81" spans="1:17" ht="11.4" customHeight="1">
      <c r="A81" s="235" t="s">
        <v>529</v>
      </c>
      <c r="B81" s="236">
        <v>10.392735974571583</v>
      </c>
      <c r="C81" s="236">
        <v>10.14483159482649</v>
      </c>
      <c r="D81" s="236">
        <v>9.9323816535242333</v>
      </c>
      <c r="E81" s="236">
        <v>9.7560534486817847</v>
      </c>
      <c r="F81" s="236">
        <v>9.6500866485728043</v>
      </c>
      <c r="G81" s="236">
        <v>9.5479381691399183</v>
      </c>
      <c r="H81" s="236">
        <v>9.4319706229553937</v>
      </c>
      <c r="I81" s="236">
        <v>9.4085776231907392</v>
      </c>
      <c r="J81" s="236">
        <v>9.286607442894093</v>
      </c>
      <c r="K81" s="236">
        <v>9.0740020253924207</v>
      </c>
      <c r="L81" s="236">
        <v>8.8630982554332789</v>
      </c>
      <c r="M81" s="236">
        <v>8.8013337282501105</v>
      </c>
      <c r="N81" s="236">
        <v>8.695766661482919</v>
      </c>
      <c r="O81" s="236">
        <v>8.6856815875487481</v>
      </c>
      <c r="P81" s="236">
        <v>8.5983294554093774</v>
      </c>
      <c r="Q81" s="236">
        <v>8.5941252371741808</v>
      </c>
    </row>
    <row r="82" spans="1:17" ht="11.4" customHeight="1">
      <c r="A82" s="235" t="s">
        <v>533</v>
      </c>
      <c r="B82" s="236">
        <v>4.7348992183731164</v>
      </c>
      <c r="C82" s="236">
        <v>4.5881724783144087</v>
      </c>
      <c r="D82" s="236">
        <v>4.5700668769618469</v>
      </c>
      <c r="E82" s="236">
        <v>4.5592139620845096</v>
      </c>
      <c r="F82" s="236">
        <v>4.5115559940682202</v>
      </c>
      <c r="G82" s="236">
        <v>4.4953173151850061</v>
      </c>
      <c r="H82" s="236">
        <v>4.4672032010101441</v>
      </c>
      <c r="I82" s="236">
        <v>4.4445331490082403</v>
      </c>
      <c r="J82" s="236">
        <v>4.3896948562088118</v>
      </c>
      <c r="K82" s="236">
        <v>4.3617369161937072</v>
      </c>
      <c r="L82" s="236">
        <v>4.2842116047348631</v>
      </c>
      <c r="M82" s="236">
        <v>4.2778840268191018</v>
      </c>
      <c r="N82" s="236">
        <v>4.2504837209090516</v>
      </c>
      <c r="O82" s="236">
        <v>4.2462418865373071</v>
      </c>
      <c r="P82" s="236">
        <v>4.2708400020224628</v>
      </c>
      <c r="Q82" s="236">
        <v>4.2965181423673284</v>
      </c>
    </row>
    <row r="83" spans="1:17" ht="11.4" customHeight="1">
      <c r="A83" s="233" t="s">
        <v>544</v>
      </c>
      <c r="B83" s="234">
        <v>46.802915215089797</v>
      </c>
      <c r="C83" s="234">
        <v>46.715344871542605</v>
      </c>
      <c r="D83" s="234">
        <v>46.31851603008311</v>
      </c>
      <c r="E83" s="234">
        <v>47.106431293527415</v>
      </c>
      <c r="F83" s="234">
        <v>45.384844527504356</v>
      </c>
      <c r="G83" s="234">
        <v>45.563248060323971</v>
      </c>
      <c r="H83" s="234">
        <v>46.054363639265787</v>
      </c>
      <c r="I83" s="234">
        <v>45.997981524417277</v>
      </c>
      <c r="J83" s="234">
        <v>45.465184194342541</v>
      </c>
      <c r="K83" s="234">
        <v>46.072060627980314</v>
      </c>
      <c r="L83" s="234">
        <v>47.019334097839412</v>
      </c>
      <c r="M83" s="234">
        <v>46.206971320285952</v>
      </c>
      <c r="N83" s="234">
        <v>46.232970105498254</v>
      </c>
      <c r="O83" s="234">
        <v>45.051217419574421</v>
      </c>
      <c r="P83" s="234">
        <v>44.144281748397972</v>
      </c>
      <c r="Q83" s="234">
        <v>43.927732217900747</v>
      </c>
    </row>
    <row r="84" spans="1:17" ht="11.4" customHeight="1">
      <c r="A84" s="223" t="s">
        <v>538</v>
      </c>
      <c r="B84" s="238">
        <v>44.473844102432842</v>
      </c>
      <c r="C84" s="238">
        <v>44.817982258407504</v>
      </c>
      <c r="D84" s="238">
        <v>44.390194364718646</v>
      </c>
      <c r="E84" s="238">
        <v>44.911336528828592</v>
      </c>
      <c r="F84" s="238">
        <v>44.213768220931406</v>
      </c>
      <c r="G84" s="238">
        <v>44.464592574454478</v>
      </c>
      <c r="H84" s="238">
        <v>44.694046120713388</v>
      </c>
      <c r="I84" s="238">
        <v>45.054406991548227</v>
      </c>
      <c r="J84" s="238">
        <v>44.749545761234749</v>
      </c>
      <c r="K84" s="238">
        <v>45.214298985949789</v>
      </c>
      <c r="L84" s="238">
        <v>45.293851582638737</v>
      </c>
      <c r="M84" s="238">
        <v>44.4495827540335</v>
      </c>
      <c r="N84" s="238">
        <v>43.925672917366541</v>
      </c>
      <c r="O84" s="238">
        <v>42.665391048106457</v>
      </c>
      <c r="P84" s="238">
        <v>42.627086068280178</v>
      </c>
      <c r="Q84" s="238">
        <v>42.043793903589012</v>
      </c>
    </row>
    <row r="85" spans="1:17" ht="11.4" customHeight="1">
      <c r="A85" s="246" t="s">
        <v>539</v>
      </c>
      <c r="B85" s="242">
        <v>55.569773499409777</v>
      </c>
      <c r="C85" s="242">
        <v>53.604809619362548</v>
      </c>
      <c r="D85" s="242">
        <v>53.120048185783752</v>
      </c>
      <c r="E85" s="242">
        <v>54.835777271565824</v>
      </c>
      <c r="F85" s="242">
        <v>49.169147828274859</v>
      </c>
      <c r="G85" s="242">
        <v>49.084737285888266</v>
      </c>
      <c r="H85" s="242">
        <v>50.27204700545083</v>
      </c>
      <c r="I85" s="242">
        <v>48.937154352257778</v>
      </c>
      <c r="J85" s="242">
        <v>47.652381814269518</v>
      </c>
      <c r="K85" s="242">
        <v>48.787195636415717</v>
      </c>
      <c r="L85" s="242">
        <v>52.269507724249799</v>
      </c>
      <c r="M85" s="242">
        <v>51.568887838937229</v>
      </c>
      <c r="N85" s="242">
        <v>52.88433258866911</v>
      </c>
      <c r="O85" s="242">
        <v>51.551181711561952</v>
      </c>
      <c r="P85" s="242">
        <v>48.303462868648523</v>
      </c>
      <c r="Q85" s="242">
        <v>49.117770351516853</v>
      </c>
    </row>
    <row r="87" spans="1:17" ht="11.4" customHeight="1">
      <c r="A87" s="217" t="s">
        <v>545</v>
      </c>
      <c r="B87" s="247"/>
      <c r="C87" s="247"/>
      <c r="D87" s="247"/>
      <c r="E87" s="247"/>
      <c r="F87" s="247"/>
      <c r="G87" s="247"/>
      <c r="H87" s="247"/>
      <c r="I87" s="247"/>
      <c r="J87" s="247"/>
      <c r="K87" s="247"/>
      <c r="L87" s="247"/>
      <c r="M87" s="247"/>
      <c r="N87" s="247"/>
      <c r="O87" s="247"/>
      <c r="P87" s="247"/>
      <c r="Q87" s="247"/>
    </row>
    <row r="88" spans="1:17" ht="11.4" customHeight="1">
      <c r="A88" s="227" t="s">
        <v>546</v>
      </c>
      <c r="B88" s="248">
        <v>38.498488463636079</v>
      </c>
      <c r="C88" s="248">
        <v>38.167289811199154</v>
      </c>
      <c r="D88" s="248">
        <v>38.116593454944883</v>
      </c>
      <c r="E88" s="248">
        <v>37.668949649277216</v>
      </c>
      <c r="F88" s="248">
        <v>37.647846222583091</v>
      </c>
      <c r="G88" s="248">
        <v>37.544613199500297</v>
      </c>
      <c r="H88" s="248">
        <v>38.012818250515906</v>
      </c>
      <c r="I88" s="248">
        <v>37.73605627830041</v>
      </c>
      <c r="J88" s="248">
        <v>37.170086138405061</v>
      </c>
      <c r="K88" s="248">
        <v>36.619099668654307</v>
      </c>
      <c r="L88" s="248">
        <v>36.283044476850669</v>
      </c>
      <c r="M88" s="248">
        <v>36.131007416745625</v>
      </c>
      <c r="N88" s="248">
        <v>35.857294316398125</v>
      </c>
      <c r="O88" s="248">
        <v>35.284470475756358</v>
      </c>
      <c r="P88" s="248">
        <v>35.8244739271667</v>
      </c>
      <c r="Q88" s="248">
        <v>35.480863345848455</v>
      </c>
    </row>
    <row r="89" spans="1:17" ht="11.4" customHeight="1">
      <c r="A89" s="239" t="s">
        <v>542</v>
      </c>
      <c r="B89" s="249">
        <v>34.555954910303008</v>
      </c>
      <c r="C89" s="249">
        <v>34.11607077483351</v>
      </c>
      <c r="D89" s="249">
        <v>33.968210819244234</v>
      </c>
      <c r="E89" s="249">
        <v>33.819230454065426</v>
      </c>
      <c r="F89" s="249">
        <v>33.097103410590549</v>
      </c>
      <c r="G89" s="249">
        <v>33.051010676851526</v>
      </c>
      <c r="H89" s="249">
        <v>32.458200886591733</v>
      </c>
      <c r="I89" s="249">
        <v>32.482754404758197</v>
      </c>
      <c r="J89" s="249">
        <v>31.86438360289036</v>
      </c>
      <c r="K89" s="249">
        <v>32.286937553454123</v>
      </c>
      <c r="L89" s="249">
        <v>32.279289731593522</v>
      </c>
      <c r="M89" s="249">
        <v>31.592358876786367</v>
      </c>
      <c r="N89" s="249">
        <v>30.820373195260991</v>
      </c>
      <c r="O89" s="249">
        <v>30.430079010405755</v>
      </c>
      <c r="P89" s="249">
        <v>30.59536337076349</v>
      </c>
      <c r="Q89" s="249">
        <v>30.875559050899167</v>
      </c>
    </row>
    <row r="90" spans="1:17" ht="11.4" customHeight="1">
      <c r="A90" s="233" t="s">
        <v>525</v>
      </c>
      <c r="B90" s="250">
        <v>40.072664352092495</v>
      </c>
      <c r="C90" s="250">
        <v>39.666575315559271</v>
      </c>
      <c r="D90" s="250">
        <v>39.532531493181231</v>
      </c>
      <c r="E90" s="250">
        <v>39.070727719925003</v>
      </c>
      <c r="F90" s="250">
        <v>39.047412168848282</v>
      </c>
      <c r="G90" s="250">
        <v>38.986178292480304</v>
      </c>
      <c r="H90" s="250">
        <v>39.47743369888353</v>
      </c>
      <c r="I90" s="250">
        <v>39.239421551669885</v>
      </c>
      <c r="J90" s="250">
        <v>38.689670829313954</v>
      </c>
      <c r="K90" s="250">
        <v>37.896260957666144</v>
      </c>
      <c r="L90" s="250">
        <v>37.503064672588451</v>
      </c>
      <c r="M90" s="250">
        <v>37.395226393363636</v>
      </c>
      <c r="N90" s="250">
        <v>37.174297961057107</v>
      </c>
      <c r="O90" s="250">
        <v>36.487154524133558</v>
      </c>
      <c r="P90" s="250">
        <v>37.012365935464004</v>
      </c>
      <c r="Q90" s="250">
        <v>36.570227370196989</v>
      </c>
    </row>
    <row r="91" spans="1:17" ht="11.4" customHeight="1">
      <c r="A91" s="235" t="s">
        <v>526</v>
      </c>
      <c r="B91" s="251">
        <v>41.897790055639717</v>
      </c>
      <c r="C91" s="251">
        <v>41.732434687621407</v>
      </c>
      <c r="D91" s="251">
        <v>41.845260388576094</v>
      </c>
      <c r="E91" s="251">
        <v>41.584414967601283</v>
      </c>
      <c r="F91" s="251">
        <v>42.038071006886078</v>
      </c>
      <c r="G91" s="251">
        <v>42.078019879224641</v>
      </c>
      <c r="H91" s="251">
        <v>42.910777245967147</v>
      </c>
      <c r="I91" s="251">
        <v>42.759539634940587</v>
      </c>
      <c r="J91" s="251">
        <v>42.104119561162655</v>
      </c>
      <c r="K91" s="251">
        <v>41.150551082687521</v>
      </c>
      <c r="L91" s="251">
        <v>40.657342684409201</v>
      </c>
      <c r="M91" s="251">
        <v>40.502706032334551</v>
      </c>
      <c r="N91" s="251">
        <v>40.256767306343214</v>
      </c>
      <c r="O91" s="251">
        <v>39.635597983589818</v>
      </c>
      <c r="P91" s="251">
        <v>40.120306726457088</v>
      </c>
      <c r="Q91" s="251">
        <v>39.35074858228289</v>
      </c>
    </row>
    <row r="92" spans="1:17" ht="11.4" customHeight="1">
      <c r="A92" s="235" t="s">
        <v>527</v>
      </c>
      <c r="B92" s="251">
        <v>35.62674808658452</v>
      </c>
      <c r="C92" s="251">
        <v>35.068005019787108</v>
      </c>
      <c r="D92" s="251">
        <v>34.865703971096806</v>
      </c>
      <c r="E92" s="251">
        <v>34.551991047046045</v>
      </c>
      <c r="F92" s="251">
        <v>34.317778363211119</v>
      </c>
      <c r="G92" s="251">
        <v>34.456256430075193</v>
      </c>
      <c r="H92" s="251">
        <v>35.047018684746199</v>
      </c>
      <c r="I92" s="251">
        <v>35.084080536167683</v>
      </c>
      <c r="J92" s="251">
        <v>34.871434976357776</v>
      </c>
      <c r="K92" s="251">
        <v>34.429640272496457</v>
      </c>
      <c r="L92" s="251">
        <v>34.363637096838296</v>
      </c>
      <c r="M92" s="251">
        <v>34.320245339409247</v>
      </c>
      <c r="N92" s="251">
        <v>34.256243994271877</v>
      </c>
      <c r="O92" s="251">
        <v>33.684117554981626</v>
      </c>
      <c r="P92" s="251">
        <v>34.385772339673537</v>
      </c>
      <c r="Q92" s="251">
        <v>34.317497296091176</v>
      </c>
    </row>
    <row r="93" spans="1:17" ht="11.4" customHeight="1">
      <c r="A93" s="235" t="s">
        <v>528</v>
      </c>
      <c r="B93" s="251">
        <v>39.25975452053531</v>
      </c>
      <c r="C93" s="251">
        <v>39.917314569194538</v>
      </c>
      <c r="D93" s="251">
        <v>40.042145500496154</v>
      </c>
      <c r="E93" s="251">
        <v>39.558051425345006</v>
      </c>
      <c r="F93" s="251">
        <v>40.544944549807347</v>
      </c>
      <c r="G93" s="251">
        <v>41.270280924970805</v>
      </c>
      <c r="H93" s="251">
        <v>42.85589066792889</v>
      </c>
      <c r="I93" s="251">
        <v>41.924164511449483</v>
      </c>
      <c r="J93" s="251">
        <v>42.830886377020626</v>
      </c>
      <c r="K93" s="251">
        <v>42.185779581985713</v>
      </c>
      <c r="L93" s="251">
        <v>40.967452353966472</v>
      </c>
      <c r="M93" s="251">
        <v>43.882084460991109</v>
      </c>
      <c r="N93" s="251">
        <v>45.016082633850353</v>
      </c>
      <c r="O93" s="251">
        <v>43.327794278994254</v>
      </c>
      <c r="P93" s="251">
        <v>43.798577645809345</v>
      </c>
      <c r="Q93" s="251">
        <v>42.648014237397902</v>
      </c>
    </row>
    <row r="94" spans="1:17" ht="11.4" customHeight="1">
      <c r="A94" s="235" t="s">
        <v>529</v>
      </c>
      <c r="B94" s="251">
        <v>39.46896665180212</v>
      </c>
      <c r="C94" s="251">
        <v>40.50599815691146</v>
      </c>
      <c r="D94" s="251">
        <v>40.521247529908749</v>
      </c>
      <c r="E94" s="251">
        <v>40.551818928666783</v>
      </c>
      <c r="F94" s="251">
        <v>41.213639690931025</v>
      </c>
      <c r="G94" s="251">
        <v>42.514880358613212</v>
      </c>
      <c r="H94" s="251">
        <v>42.350084023059786</v>
      </c>
      <c r="I94" s="251">
        <v>42.36150392340069</v>
      </c>
      <c r="J94" s="251">
        <v>40.920353101006079</v>
      </c>
      <c r="K94" s="251">
        <v>39.636651280023138</v>
      </c>
      <c r="L94" s="251">
        <v>38.630348921725918</v>
      </c>
      <c r="M94" s="251">
        <v>39.546864907545</v>
      </c>
      <c r="N94" s="251">
        <v>42.271734630361088</v>
      </c>
      <c r="O94" s="251">
        <v>40.086042395622052</v>
      </c>
      <c r="P94" s="251">
        <v>40.848735320357491</v>
      </c>
      <c r="Q94" s="251">
        <v>39.103430769215059</v>
      </c>
    </row>
    <row r="95" spans="1:17" ht="11.4" customHeight="1">
      <c r="A95" s="235" t="s">
        <v>543</v>
      </c>
      <c r="B95" s="251" t="s">
        <v>658</v>
      </c>
      <c r="C95" s="251" t="s">
        <v>658</v>
      </c>
      <c r="D95" s="251" t="s">
        <v>658</v>
      </c>
      <c r="E95" s="251" t="s">
        <v>658</v>
      </c>
      <c r="F95" s="251" t="s">
        <v>658</v>
      </c>
      <c r="G95" s="251" t="s">
        <v>658</v>
      </c>
      <c r="H95" s="251" t="s">
        <v>658</v>
      </c>
      <c r="I95" s="251" t="s">
        <v>658</v>
      </c>
      <c r="J95" s="251">
        <v>19.691495150278367</v>
      </c>
      <c r="K95" s="251">
        <v>20.146418435119099</v>
      </c>
      <c r="L95" s="251">
        <v>26.894402074614487</v>
      </c>
      <c r="M95" s="251">
        <v>24.142486646596197</v>
      </c>
      <c r="N95" s="251">
        <v>26.747446214990021</v>
      </c>
      <c r="O95" s="251">
        <v>25.852911444048615</v>
      </c>
      <c r="P95" s="251">
        <v>26.718989885420644</v>
      </c>
      <c r="Q95" s="251">
        <v>25.585142861312985</v>
      </c>
    </row>
    <row r="96" spans="1:17" ht="11.4" customHeight="1">
      <c r="A96" s="235" t="s">
        <v>533</v>
      </c>
      <c r="B96" s="251" t="s">
        <v>658</v>
      </c>
      <c r="C96" s="251" t="s">
        <v>658</v>
      </c>
      <c r="D96" s="251" t="s">
        <v>658</v>
      </c>
      <c r="E96" s="251">
        <v>22.21463226628034</v>
      </c>
      <c r="F96" s="251">
        <v>21.162325940800198</v>
      </c>
      <c r="G96" s="251">
        <v>22.913208960906655</v>
      </c>
      <c r="H96" s="251">
        <v>19.261364491376931</v>
      </c>
      <c r="I96" s="251">
        <v>19.053808796534721</v>
      </c>
      <c r="J96" s="251">
        <v>18.912901738033334</v>
      </c>
      <c r="K96" s="251">
        <v>18.902833029909068</v>
      </c>
      <c r="L96" s="251">
        <v>17.218048872786582</v>
      </c>
      <c r="M96" s="251">
        <v>18.027478098476212</v>
      </c>
      <c r="N96" s="251">
        <v>18.863416042989293</v>
      </c>
      <c r="O96" s="251">
        <v>18.89025518267335</v>
      </c>
      <c r="P96" s="251">
        <v>19.661003105022235</v>
      </c>
      <c r="Q96" s="251">
        <v>19.821768023768556</v>
      </c>
    </row>
    <row r="97" spans="1:17" ht="11.4" customHeight="1">
      <c r="A97" s="233" t="s">
        <v>534</v>
      </c>
      <c r="B97" s="250">
        <v>26.961188122325243</v>
      </c>
      <c r="C97" s="250">
        <v>27.014168332937725</v>
      </c>
      <c r="D97" s="250">
        <v>27.294873571519737</v>
      </c>
      <c r="E97" s="250">
        <v>26.974740122480263</v>
      </c>
      <c r="F97" s="250">
        <v>27.027649988235325</v>
      </c>
      <c r="G97" s="250">
        <v>26.680988400287049</v>
      </c>
      <c r="H97" s="250">
        <v>27.032614745290235</v>
      </c>
      <c r="I97" s="250">
        <v>26.452130283300974</v>
      </c>
      <c r="J97" s="250">
        <v>26.005733079595736</v>
      </c>
      <c r="K97" s="250">
        <v>26.636087667330596</v>
      </c>
      <c r="L97" s="250">
        <v>26.760989167047541</v>
      </c>
      <c r="M97" s="250">
        <v>26.487976777613305</v>
      </c>
      <c r="N97" s="250">
        <v>26.031953092316499</v>
      </c>
      <c r="O97" s="250">
        <v>26.202106086295679</v>
      </c>
      <c r="P97" s="250">
        <v>26.749537414024665</v>
      </c>
      <c r="Q97" s="250">
        <v>27.076056770497335</v>
      </c>
    </row>
    <row r="98" spans="1:17" ht="11.4" customHeight="1">
      <c r="A98" s="235" t="s">
        <v>526</v>
      </c>
      <c r="B98" s="252">
        <v>25.146922668385635</v>
      </c>
      <c r="C98" s="252">
        <v>25.164812747420385</v>
      </c>
      <c r="D98" s="252">
        <v>25.008101266713005</v>
      </c>
      <c r="E98" s="252">
        <v>24.324386241357054</v>
      </c>
      <c r="F98" s="252">
        <v>23.953761596211294</v>
      </c>
      <c r="G98" s="252">
        <v>23.560835083431272</v>
      </c>
      <c r="H98" s="252">
        <v>24.130276089720869</v>
      </c>
      <c r="I98" s="252">
        <v>23.009506647382636</v>
      </c>
      <c r="J98" s="252">
        <v>22.513056718991031</v>
      </c>
      <c r="K98" s="252">
        <v>22.568555657041561</v>
      </c>
      <c r="L98" s="252">
        <v>22.221226894209131</v>
      </c>
      <c r="M98" s="252">
        <v>21.528762792858572</v>
      </c>
      <c r="N98" s="252">
        <v>21.033590549372917</v>
      </c>
      <c r="O98" s="252">
        <v>20.068808021311021</v>
      </c>
      <c r="P98" s="252">
        <v>20.754078059013942</v>
      </c>
      <c r="Q98" s="252">
        <v>20.616227489797652</v>
      </c>
    </row>
    <row r="99" spans="1:17" ht="11.4" customHeight="1">
      <c r="A99" s="235" t="s">
        <v>527</v>
      </c>
      <c r="B99" s="252">
        <v>27.053158677090646</v>
      </c>
      <c r="C99" s="252">
        <v>27.120810730415467</v>
      </c>
      <c r="D99" s="252">
        <v>27.409075729476275</v>
      </c>
      <c r="E99" s="252">
        <v>27.099265253382399</v>
      </c>
      <c r="F99" s="252">
        <v>27.173355067476315</v>
      </c>
      <c r="G99" s="252">
        <v>26.866874637651431</v>
      </c>
      <c r="H99" s="252">
        <v>27.230047779549512</v>
      </c>
      <c r="I99" s="252">
        <v>26.660736523466966</v>
      </c>
      <c r="J99" s="252">
        <v>26.207782800075517</v>
      </c>
      <c r="K99" s="252">
        <v>26.884613854938209</v>
      </c>
      <c r="L99" s="252">
        <v>27.02849278371065</v>
      </c>
      <c r="M99" s="252">
        <v>26.729533429119954</v>
      </c>
      <c r="N99" s="252">
        <v>26.253435213611034</v>
      </c>
      <c r="O99" s="252">
        <v>26.44655148131244</v>
      </c>
      <c r="P99" s="252">
        <v>27.017643189669347</v>
      </c>
      <c r="Q99" s="252">
        <v>27.4358233182448</v>
      </c>
    </row>
    <row r="100" spans="1:17" ht="11.4" customHeight="1">
      <c r="A100" s="235" t="s">
        <v>528</v>
      </c>
      <c r="B100" s="252">
        <v>15.988653113081924</v>
      </c>
      <c r="C100" s="252">
        <v>16.854933816286255</v>
      </c>
      <c r="D100" s="252">
        <v>17.749000726069188</v>
      </c>
      <c r="E100" s="252">
        <v>17.688248049577879</v>
      </c>
      <c r="F100" s="252">
        <v>16.067226603815271</v>
      </c>
      <c r="G100" s="252">
        <v>17.024456994769462</v>
      </c>
      <c r="H100" s="252">
        <v>16.611767429614812</v>
      </c>
      <c r="I100" s="252">
        <v>17.598821353219979</v>
      </c>
      <c r="J100" s="252">
        <v>17.558088976170037</v>
      </c>
      <c r="K100" s="252">
        <v>18.837289868721516</v>
      </c>
      <c r="L100" s="252">
        <v>19.631245849955267</v>
      </c>
      <c r="M100" s="252">
        <v>20.401717376621097</v>
      </c>
      <c r="N100" s="252">
        <v>20.273757614439241</v>
      </c>
      <c r="O100" s="252">
        <v>20.84782332448334</v>
      </c>
      <c r="P100" s="252">
        <v>20.501377095929698</v>
      </c>
      <c r="Q100" s="252">
        <v>22.303308933309822</v>
      </c>
    </row>
    <row r="101" spans="1:17" ht="11.4" customHeight="1">
      <c r="A101" s="235" t="s">
        <v>529</v>
      </c>
      <c r="B101" s="252">
        <v>22.585415250135672</v>
      </c>
      <c r="C101" s="252">
        <v>22.267082979396946</v>
      </c>
      <c r="D101" s="252">
        <v>22.011750590883207</v>
      </c>
      <c r="E101" s="252">
        <v>22.404460475203521</v>
      </c>
      <c r="F101" s="252">
        <v>22.593237120333651</v>
      </c>
      <c r="G101" s="252">
        <v>20.892415046189392</v>
      </c>
      <c r="H101" s="252">
        <v>22.052917381399553</v>
      </c>
      <c r="I101" s="252">
        <v>21.130168119309577</v>
      </c>
      <c r="J101" s="252">
        <v>21.057642736610056</v>
      </c>
      <c r="K101" s="252">
        <v>20.927774532839813</v>
      </c>
      <c r="L101" s="252">
        <v>21.090702407029106</v>
      </c>
      <c r="M101" s="252">
        <v>22.092379803177014</v>
      </c>
      <c r="N101" s="252">
        <v>22.592675160547916</v>
      </c>
      <c r="O101" s="252">
        <v>23.130916945678706</v>
      </c>
      <c r="P101" s="252">
        <v>23.412962625400468</v>
      </c>
      <c r="Q101" s="252">
        <v>23.359066342917014</v>
      </c>
    </row>
    <row r="102" spans="1:17" ht="11.4" customHeight="1">
      <c r="A102" s="235" t="s">
        <v>533</v>
      </c>
      <c r="B102" s="252">
        <v>13.648578037312967</v>
      </c>
      <c r="C102" s="252">
        <v>13.909877652475576</v>
      </c>
      <c r="D102" s="252">
        <v>14.203621966255669</v>
      </c>
      <c r="E102" s="252">
        <v>13.935683887871194</v>
      </c>
      <c r="F102" s="252">
        <v>14.212401127508953</v>
      </c>
      <c r="G102" s="252">
        <v>13.034386372893477</v>
      </c>
      <c r="H102" s="252">
        <v>12.825348316784163</v>
      </c>
      <c r="I102" s="252">
        <v>12.987513291931876</v>
      </c>
      <c r="J102" s="252">
        <v>13.022485797194799</v>
      </c>
      <c r="K102" s="252">
        <v>14.013068622619775</v>
      </c>
      <c r="L102" s="252">
        <v>14.576348317174778</v>
      </c>
      <c r="M102" s="252">
        <v>14.756848163146547</v>
      </c>
      <c r="N102" s="252">
        <v>14.728252148457864</v>
      </c>
      <c r="O102" s="252">
        <v>13.413185051106854</v>
      </c>
      <c r="P102" s="252">
        <v>13.079247128277284</v>
      </c>
      <c r="Q102" s="252">
        <v>13.576213059158777</v>
      </c>
    </row>
    <row r="103" spans="1:17" ht="11.4" customHeight="1">
      <c r="A103" s="227" t="s">
        <v>547</v>
      </c>
      <c r="B103" s="248">
        <v>59.394141532214491</v>
      </c>
      <c r="C103" s="248">
        <v>59.229629799094475</v>
      </c>
      <c r="D103" s="248">
        <v>58.263475343533621</v>
      </c>
      <c r="E103" s="248">
        <v>59.957768718778432</v>
      </c>
      <c r="F103" s="248">
        <v>57.51626812957403</v>
      </c>
      <c r="G103" s="248">
        <v>57.720030146861156</v>
      </c>
      <c r="H103" s="248">
        <v>57.143601425090928</v>
      </c>
      <c r="I103" s="248">
        <v>57.179372317438016</v>
      </c>
      <c r="J103" s="248">
        <v>56.704137895560521</v>
      </c>
      <c r="K103" s="248">
        <v>59.323287016399071</v>
      </c>
      <c r="L103" s="248">
        <v>59.077126186363671</v>
      </c>
      <c r="M103" s="248">
        <v>58.777203185789716</v>
      </c>
      <c r="N103" s="248">
        <v>58.439597939990179</v>
      </c>
      <c r="O103" s="248">
        <v>56.732649849008887</v>
      </c>
      <c r="P103" s="248">
        <v>56.474000165041595</v>
      </c>
      <c r="Q103" s="248">
        <v>55.875874939705476</v>
      </c>
    </row>
    <row r="104" spans="1:17" ht="11.4" customHeight="1">
      <c r="A104" s="239" t="s">
        <v>536</v>
      </c>
      <c r="B104" s="249">
        <v>350.32111319652961</v>
      </c>
      <c r="C104" s="249">
        <v>340.35509654567898</v>
      </c>
      <c r="D104" s="249">
        <v>337.96486538896761</v>
      </c>
      <c r="E104" s="249">
        <v>334.7945488155961</v>
      </c>
      <c r="F104" s="249">
        <v>330.09005140540717</v>
      </c>
      <c r="G104" s="249">
        <v>328.22165876459394</v>
      </c>
      <c r="H104" s="249">
        <v>321.41563725319304</v>
      </c>
      <c r="I104" s="249">
        <v>316.85881181253114</v>
      </c>
      <c r="J104" s="249">
        <v>314.48216978065432</v>
      </c>
      <c r="K104" s="249">
        <v>312.64304548400537</v>
      </c>
      <c r="L104" s="249">
        <v>312.91650731574828</v>
      </c>
      <c r="M104" s="249">
        <v>310.32479414918026</v>
      </c>
      <c r="N104" s="249">
        <v>305.45420360683886</v>
      </c>
      <c r="O104" s="249">
        <v>298.84583422894474</v>
      </c>
      <c r="P104" s="249">
        <v>295.75945904294827</v>
      </c>
      <c r="Q104" s="249">
        <v>290.71253688172595</v>
      </c>
    </row>
    <row r="105" spans="1:17" ht="11.4" customHeight="1">
      <c r="A105" s="235" t="s">
        <v>526</v>
      </c>
      <c r="B105" s="251">
        <v>473.00602391627888</v>
      </c>
      <c r="C105" s="251">
        <v>467.74108326028409</v>
      </c>
      <c r="D105" s="251">
        <v>465.30921539475753</v>
      </c>
      <c r="E105" s="251">
        <v>462.91811824609346</v>
      </c>
      <c r="F105" s="251">
        <v>458.29102493454792</v>
      </c>
      <c r="G105" s="251">
        <v>455.59066673736754</v>
      </c>
      <c r="H105" s="251">
        <v>452.55975035462927</v>
      </c>
      <c r="I105" s="251">
        <v>448.44726344766087</v>
      </c>
      <c r="J105" s="251">
        <v>438.86722127376339</v>
      </c>
      <c r="K105" s="251">
        <v>433.60029337764269</v>
      </c>
      <c r="L105" s="251">
        <v>422.65422334570741</v>
      </c>
      <c r="M105" s="251">
        <v>415.05906136095444</v>
      </c>
      <c r="N105" s="251">
        <v>407.59769370147188</v>
      </c>
      <c r="O105" s="251">
        <v>400.34637945684722</v>
      </c>
      <c r="P105" s="251">
        <v>393.79072735943879</v>
      </c>
      <c r="Q105" s="251">
        <v>385.76317672014272</v>
      </c>
    </row>
    <row r="106" spans="1:17" ht="11.4" customHeight="1">
      <c r="A106" s="235" t="s">
        <v>527</v>
      </c>
      <c r="B106" s="251">
        <v>333.26419959906298</v>
      </c>
      <c r="C106" s="251">
        <v>324.18784155774483</v>
      </c>
      <c r="D106" s="251">
        <v>323.03251205687809</v>
      </c>
      <c r="E106" s="251">
        <v>321.19279642992529</v>
      </c>
      <c r="F106" s="251">
        <v>317.9624588206579</v>
      </c>
      <c r="G106" s="251">
        <v>317.28580080799213</v>
      </c>
      <c r="H106" s="251">
        <v>311.01285022544528</v>
      </c>
      <c r="I106" s="251">
        <v>307.53725940144921</v>
      </c>
      <c r="J106" s="251">
        <v>306.12065327643757</v>
      </c>
      <c r="K106" s="251">
        <v>304.90176132516655</v>
      </c>
      <c r="L106" s="251">
        <v>306.19893895729211</v>
      </c>
      <c r="M106" s="251">
        <v>304.21566659479447</v>
      </c>
      <c r="N106" s="251">
        <v>299.68245014720623</v>
      </c>
      <c r="O106" s="251">
        <v>293.23879160538013</v>
      </c>
      <c r="P106" s="251">
        <v>290.55531312418293</v>
      </c>
      <c r="Q106" s="251">
        <v>285.70228100905439</v>
      </c>
    </row>
    <row r="107" spans="1:17" ht="11.4" customHeight="1">
      <c r="A107" s="235" t="s">
        <v>528</v>
      </c>
      <c r="B107" s="251">
        <v>702.11027622110703</v>
      </c>
      <c r="C107" s="251">
        <v>612.5719262318903</v>
      </c>
      <c r="D107" s="251">
        <v>554.30912692882998</v>
      </c>
      <c r="E107" s="251">
        <v>529.85427587104903</v>
      </c>
      <c r="F107" s="251">
        <v>521.73980732798645</v>
      </c>
      <c r="G107" s="251">
        <v>508.59370452187147</v>
      </c>
      <c r="H107" s="251">
        <v>496.69654431483161</v>
      </c>
      <c r="I107" s="251">
        <v>490.12218561542585</v>
      </c>
      <c r="J107" s="251">
        <v>482.20190899052886</v>
      </c>
      <c r="K107" s="251">
        <v>481.12267713782074</v>
      </c>
      <c r="L107" s="251">
        <v>477.84059500914964</v>
      </c>
      <c r="M107" s="251">
        <v>477.93285344272533</v>
      </c>
      <c r="N107" s="251">
        <v>476.04779642059049</v>
      </c>
      <c r="O107" s="251">
        <v>472.45167160161151</v>
      </c>
      <c r="P107" s="251">
        <v>472.23295658649533</v>
      </c>
      <c r="Q107" s="251">
        <v>475.94900025411368</v>
      </c>
    </row>
    <row r="108" spans="1:17" ht="11.4" customHeight="1">
      <c r="A108" s="235" t="s">
        <v>529</v>
      </c>
      <c r="B108" s="251">
        <v>627.05191238473992</v>
      </c>
      <c r="C108" s="251">
        <v>612.64877955269139</v>
      </c>
      <c r="D108" s="251">
        <v>599.9960689770445</v>
      </c>
      <c r="E108" s="251">
        <v>588.32149991747724</v>
      </c>
      <c r="F108" s="251">
        <v>582.41410012874314</v>
      </c>
      <c r="G108" s="251">
        <v>576.11165822753856</v>
      </c>
      <c r="H108" s="251">
        <v>413.42946161889074</v>
      </c>
      <c r="I108" s="251">
        <v>391.27359585352843</v>
      </c>
      <c r="J108" s="251">
        <v>392.73517659240918</v>
      </c>
      <c r="K108" s="251">
        <v>391.26597473736001</v>
      </c>
      <c r="L108" s="251">
        <v>401.79118727378642</v>
      </c>
      <c r="M108" s="251">
        <v>402.99344498433248</v>
      </c>
      <c r="N108" s="251">
        <v>398.26585836111707</v>
      </c>
      <c r="O108" s="251">
        <v>402.18920640217493</v>
      </c>
      <c r="P108" s="251">
        <v>404.16095171390918</v>
      </c>
      <c r="Q108" s="251">
        <v>411.52462532205749</v>
      </c>
    </row>
    <row r="109" spans="1:17" ht="11.4" customHeight="1">
      <c r="A109" s="235" t="s">
        <v>533</v>
      </c>
      <c r="B109" s="251">
        <v>205.73931458087955</v>
      </c>
      <c r="C109" s="251">
        <v>203.74033653069151</v>
      </c>
      <c r="D109" s="251">
        <v>205.28973862165205</v>
      </c>
      <c r="E109" s="251">
        <v>207.07564816481261</v>
      </c>
      <c r="F109" s="251">
        <v>201.03474289682293</v>
      </c>
      <c r="G109" s="251">
        <v>201.18246764103276</v>
      </c>
      <c r="H109" s="251">
        <v>201.73978939700012</v>
      </c>
      <c r="I109" s="251">
        <v>203.31084450520819</v>
      </c>
      <c r="J109" s="251">
        <v>199.02236402360563</v>
      </c>
      <c r="K109" s="251">
        <v>198.20288481108179</v>
      </c>
      <c r="L109" s="251">
        <v>189.94589374956684</v>
      </c>
      <c r="M109" s="251">
        <v>184.99920080793981</v>
      </c>
      <c r="N109" s="251">
        <v>188.9547447973668</v>
      </c>
      <c r="O109" s="251">
        <v>191.73168187116246</v>
      </c>
      <c r="P109" s="251">
        <v>191.19439730734868</v>
      </c>
      <c r="Q109" s="251">
        <v>191.14763881153533</v>
      </c>
    </row>
    <row r="110" spans="1:17" ht="11.4" customHeight="1">
      <c r="A110" s="233" t="s">
        <v>544</v>
      </c>
      <c r="B110" s="250">
        <v>42.34071593453158</v>
      </c>
      <c r="C110" s="250">
        <v>42.480108331759062</v>
      </c>
      <c r="D110" s="250">
        <v>41.81835192182627</v>
      </c>
      <c r="E110" s="250">
        <v>43.155962116253605</v>
      </c>
      <c r="F110" s="250">
        <v>41.637648487956518</v>
      </c>
      <c r="G110" s="250">
        <v>41.82310383920705</v>
      </c>
      <c r="H110" s="250">
        <v>41.788068721368205</v>
      </c>
      <c r="I110" s="250">
        <v>41.772891590540588</v>
      </c>
      <c r="J110" s="250">
        <v>41.226410806957588</v>
      </c>
      <c r="K110" s="250">
        <v>42.574398167803956</v>
      </c>
      <c r="L110" s="250">
        <v>42.429050036939287</v>
      </c>
      <c r="M110" s="250">
        <v>41.980265533037887</v>
      </c>
      <c r="N110" s="250">
        <v>41.751057231775377</v>
      </c>
      <c r="O110" s="250">
        <v>40.587759449394568</v>
      </c>
      <c r="P110" s="250">
        <v>40.097180184086682</v>
      </c>
      <c r="Q110" s="250">
        <v>39.883031736686775</v>
      </c>
    </row>
    <row r="111" spans="1:17" ht="11.4" customHeight="1">
      <c r="A111" s="223" t="s">
        <v>538</v>
      </c>
      <c r="B111" s="252">
        <v>43.203157623291155</v>
      </c>
      <c r="C111" s="252">
        <v>43.972609166867151</v>
      </c>
      <c r="D111" s="252">
        <v>43.348845700326891</v>
      </c>
      <c r="E111" s="252">
        <v>44.699280229157495</v>
      </c>
      <c r="F111" s="252">
        <v>44.223169898876428</v>
      </c>
      <c r="G111" s="252">
        <v>44.551935106011371</v>
      </c>
      <c r="H111" s="252">
        <v>44.340886030050214</v>
      </c>
      <c r="I111" s="252">
        <v>44.76881062320345</v>
      </c>
      <c r="J111" s="252">
        <v>44.195165897534814</v>
      </c>
      <c r="K111" s="252">
        <v>45.498456642448602</v>
      </c>
      <c r="L111" s="252">
        <v>44.835663256673023</v>
      </c>
      <c r="M111" s="252">
        <v>44.355102428856391</v>
      </c>
      <c r="N111" s="252">
        <v>43.622981930400726</v>
      </c>
      <c r="O111" s="252">
        <v>42.49992441853562</v>
      </c>
      <c r="P111" s="252">
        <v>43.005171379968083</v>
      </c>
      <c r="Q111" s="252">
        <v>42.197233819154341</v>
      </c>
    </row>
    <row r="112" spans="1:17" ht="11.4" customHeight="1">
      <c r="A112" s="246" t="s">
        <v>539</v>
      </c>
      <c r="B112" s="253">
        <v>39.938910905941626</v>
      </c>
      <c r="C112" s="253">
        <v>38.511763205369505</v>
      </c>
      <c r="D112" s="253">
        <v>37.876669121464083</v>
      </c>
      <c r="E112" s="253">
        <v>39.247970879502226</v>
      </c>
      <c r="F112" s="253">
        <v>35.591127002106631</v>
      </c>
      <c r="G112" s="253">
        <v>35.508141882825591</v>
      </c>
      <c r="H112" s="253">
        <v>36.064668698131634</v>
      </c>
      <c r="I112" s="253">
        <v>35.046961277531949</v>
      </c>
      <c r="J112" s="253">
        <v>34.562834931060927</v>
      </c>
      <c r="K112" s="253">
        <v>35.82100662947753</v>
      </c>
      <c r="L112" s="253">
        <v>37.168706655876804</v>
      </c>
      <c r="M112" s="253">
        <v>36.798764243189396</v>
      </c>
      <c r="N112" s="253">
        <v>37.86093834770417</v>
      </c>
      <c r="O112" s="253">
        <v>36.849432782852546</v>
      </c>
      <c r="P112" s="253">
        <v>34.460006959068693</v>
      </c>
      <c r="Q112" s="253">
        <v>35.315796060352284</v>
      </c>
    </row>
    <row r="114" spans="1:17" ht="11.4" customHeight="1">
      <c r="A114" s="217" t="s">
        <v>548</v>
      </c>
      <c r="B114" s="247"/>
      <c r="C114" s="247"/>
      <c r="D114" s="247"/>
      <c r="E114" s="247"/>
      <c r="F114" s="247"/>
      <c r="G114" s="247"/>
      <c r="H114" s="247"/>
      <c r="I114" s="247"/>
      <c r="J114" s="247"/>
      <c r="K114" s="247"/>
      <c r="L114" s="247"/>
      <c r="M114" s="247"/>
      <c r="N114" s="247"/>
      <c r="O114" s="247"/>
      <c r="P114" s="247"/>
      <c r="Q114" s="247"/>
    </row>
    <row r="115" spans="1:17" ht="11.4" customHeight="1">
      <c r="A115" s="227" t="s">
        <v>522</v>
      </c>
      <c r="B115" s="248"/>
      <c r="C115" s="248"/>
      <c r="D115" s="248"/>
      <c r="E115" s="248"/>
      <c r="F115" s="248"/>
      <c r="G115" s="248"/>
      <c r="H115" s="248"/>
      <c r="I115" s="248"/>
      <c r="J115" s="248"/>
      <c r="K115" s="248"/>
      <c r="L115" s="248"/>
      <c r="M115" s="248"/>
      <c r="N115" s="248"/>
      <c r="O115" s="248"/>
      <c r="P115" s="248"/>
      <c r="Q115" s="248"/>
    </row>
    <row r="116" spans="1:17" ht="11.4" customHeight="1">
      <c r="A116" s="239" t="s">
        <v>542</v>
      </c>
      <c r="B116" s="249">
        <v>134.89832189628996</v>
      </c>
      <c r="C116" s="249">
        <v>133.95623825350103</v>
      </c>
      <c r="D116" s="249">
        <v>130.47926345452291</v>
      </c>
      <c r="E116" s="249">
        <v>129.9781007505768</v>
      </c>
      <c r="F116" s="249">
        <v>128.38640619350383</v>
      </c>
      <c r="G116" s="249">
        <v>126.92947791395996</v>
      </c>
      <c r="H116" s="249">
        <v>120.1619958908673</v>
      </c>
      <c r="I116" s="249">
        <v>111.81916333910692</v>
      </c>
      <c r="J116" s="249">
        <v>110.528622288547</v>
      </c>
      <c r="K116" s="249">
        <v>107.68096255611735</v>
      </c>
      <c r="L116" s="249">
        <v>107.4966416383008</v>
      </c>
      <c r="M116" s="249">
        <v>106.37374992179578</v>
      </c>
      <c r="N116" s="249">
        <v>104.79532164527417</v>
      </c>
      <c r="O116" s="249">
        <v>102.64655749954785</v>
      </c>
      <c r="P116" s="249">
        <v>104.27098255167269</v>
      </c>
      <c r="Q116" s="249">
        <v>103.84956163557239</v>
      </c>
    </row>
    <row r="117" spans="1:17" ht="11.4" customHeight="1">
      <c r="A117" s="233" t="s">
        <v>525</v>
      </c>
      <c r="B117" s="250">
        <v>859.15907098033824</v>
      </c>
      <c r="C117" s="250">
        <v>844.42222524567035</v>
      </c>
      <c r="D117" s="250">
        <v>840.38535827365524</v>
      </c>
      <c r="E117" s="250">
        <v>822.9349090698762</v>
      </c>
      <c r="F117" s="250">
        <v>820.18231490373216</v>
      </c>
      <c r="G117" s="250">
        <v>794.85980568358116</v>
      </c>
      <c r="H117" s="250">
        <v>794.65404902818318</v>
      </c>
      <c r="I117" s="250">
        <v>780.85264154315166</v>
      </c>
      <c r="J117" s="250">
        <v>759.63573167451455</v>
      </c>
      <c r="K117" s="250">
        <v>750.4112603019887</v>
      </c>
      <c r="L117" s="250">
        <v>722.80825669962451</v>
      </c>
      <c r="M117" s="250">
        <v>706.94970120383141</v>
      </c>
      <c r="N117" s="250">
        <v>682.61924376446461</v>
      </c>
      <c r="O117" s="250">
        <v>666.16517059486603</v>
      </c>
      <c r="P117" s="250">
        <v>677.7421766815313</v>
      </c>
      <c r="Q117" s="250">
        <v>676.87077623241237</v>
      </c>
    </row>
    <row r="118" spans="1:17" ht="11.4" customHeight="1">
      <c r="A118" s="235" t="s">
        <v>526</v>
      </c>
      <c r="B118" s="251">
        <v>789.32913319972306</v>
      </c>
      <c r="C118" s="251">
        <v>769.88603038400856</v>
      </c>
      <c r="D118" s="251">
        <v>763.67507172914566</v>
      </c>
      <c r="E118" s="251">
        <v>741.46722771002237</v>
      </c>
      <c r="F118" s="251">
        <v>729.50164313246307</v>
      </c>
      <c r="G118" s="251">
        <v>701.01775757539212</v>
      </c>
      <c r="H118" s="251">
        <v>685.89877376427432</v>
      </c>
      <c r="I118" s="251">
        <v>666.46886574998086</v>
      </c>
      <c r="J118" s="251">
        <v>643.16510002081191</v>
      </c>
      <c r="K118" s="251">
        <v>632.01360265295125</v>
      </c>
      <c r="L118" s="251">
        <v>603.31952199540603</v>
      </c>
      <c r="M118" s="251">
        <v>586.13197739913994</v>
      </c>
      <c r="N118" s="251">
        <v>555.53677314945185</v>
      </c>
      <c r="O118" s="251">
        <v>539.42327040358521</v>
      </c>
      <c r="P118" s="251">
        <v>541.28102904123796</v>
      </c>
      <c r="Q118" s="251">
        <v>533.43789965655435</v>
      </c>
    </row>
    <row r="119" spans="1:17" ht="11.4" customHeight="1">
      <c r="A119" s="235" t="s">
        <v>527</v>
      </c>
      <c r="B119" s="251">
        <v>1143.8733202822998</v>
      </c>
      <c r="C119" s="251">
        <v>1129.0335367100308</v>
      </c>
      <c r="D119" s="251">
        <v>1108.8720425544491</v>
      </c>
      <c r="E119" s="251">
        <v>1084.773445796854</v>
      </c>
      <c r="F119" s="251">
        <v>1077.9519733115817</v>
      </c>
      <c r="G119" s="251">
        <v>1036.9324901023645</v>
      </c>
      <c r="H119" s="251">
        <v>1047.7218123369371</v>
      </c>
      <c r="I119" s="251">
        <v>1029.7033541806577</v>
      </c>
      <c r="J119" s="251">
        <v>989.7285808315039</v>
      </c>
      <c r="K119" s="251">
        <v>965.44338526381182</v>
      </c>
      <c r="L119" s="251">
        <v>925.60910452909945</v>
      </c>
      <c r="M119" s="251">
        <v>894.49265090220536</v>
      </c>
      <c r="N119" s="251">
        <v>868.44430540624739</v>
      </c>
      <c r="O119" s="251">
        <v>838.79263171192736</v>
      </c>
      <c r="P119" s="251">
        <v>858.24094839649729</v>
      </c>
      <c r="Q119" s="251">
        <v>859.88145280844117</v>
      </c>
    </row>
    <row r="120" spans="1:17" ht="11.4" customHeight="1">
      <c r="A120" s="235" t="s">
        <v>528</v>
      </c>
      <c r="B120" s="251">
        <v>939.99314766146358</v>
      </c>
      <c r="C120" s="251">
        <v>865.03742661410217</v>
      </c>
      <c r="D120" s="251">
        <v>818.53509492677563</v>
      </c>
      <c r="E120" s="251">
        <v>753.94599666774718</v>
      </c>
      <c r="F120" s="251">
        <v>771.50235524366622</v>
      </c>
      <c r="G120" s="251">
        <v>760.71912974316149</v>
      </c>
      <c r="H120" s="251">
        <v>758.46107999353512</v>
      </c>
      <c r="I120" s="251">
        <v>721.8225175741261</v>
      </c>
      <c r="J120" s="251">
        <v>723.20222049198867</v>
      </c>
      <c r="K120" s="251">
        <v>732.96515858326359</v>
      </c>
      <c r="L120" s="251">
        <v>711.18486376109058</v>
      </c>
      <c r="M120" s="251">
        <v>747.485510998628</v>
      </c>
      <c r="N120" s="251">
        <v>725.10028215928526</v>
      </c>
      <c r="O120" s="251">
        <v>739.98591826960171</v>
      </c>
      <c r="P120" s="251">
        <v>725.4697657801587</v>
      </c>
      <c r="Q120" s="251">
        <v>726.41720436953131</v>
      </c>
    </row>
    <row r="121" spans="1:17" ht="11.4" customHeight="1">
      <c r="A121" s="235" t="s">
        <v>529</v>
      </c>
      <c r="B121" s="251">
        <v>1034.699275774025</v>
      </c>
      <c r="C121" s="251">
        <v>1015.378040173523</v>
      </c>
      <c r="D121" s="251">
        <v>1007.2666039990092</v>
      </c>
      <c r="E121" s="251">
        <v>990.99951734472052</v>
      </c>
      <c r="F121" s="251">
        <v>999.60805982542934</v>
      </c>
      <c r="G121" s="251">
        <v>942.23553324213299</v>
      </c>
      <c r="H121" s="251">
        <v>907.28169369253874</v>
      </c>
      <c r="I121" s="251">
        <v>894.51132095112496</v>
      </c>
      <c r="J121" s="251">
        <v>855.91751486437352</v>
      </c>
      <c r="K121" s="251">
        <v>879.7774608925771</v>
      </c>
      <c r="L121" s="251">
        <v>814.53631670080108</v>
      </c>
      <c r="M121" s="251">
        <v>812.67679606827005</v>
      </c>
      <c r="N121" s="251">
        <v>778.35439008572689</v>
      </c>
      <c r="O121" s="251">
        <v>780.6130648948681</v>
      </c>
      <c r="P121" s="251">
        <v>802.69202320778936</v>
      </c>
      <c r="Q121" s="251">
        <v>786.59053447813915</v>
      </c>
    </row>
    <row r="122" spans="1:17" ht="11.4" customHeight="1">
      <c r="A122" s="235" t="s">
        <v>543</v>
      </c>
      <c r="B122" s="251" t="s">
        <v>658</v>
      </c>
      <c r="C122" s="251" t="s">
        <v>658</v>
      </c>
      <c r="D122" s="251" t="s">
        <v>658</v>
      </c>
      <c r="E122" s="251" t="s">
        <v>658</v>
      </c>
      <c r="F122" s="251" t="s">
        <v>658</v>
      </c>
      <c r="G122" s="251" t="s">
        <v>658</v>
      </c>
      <c r="H122" s="251" t="s">
        <v>658</v>
      </c>
      <c r="I122" s="251" t="s">
        <v>658</v>
      </c>
      <c r="J122" s="251">
        <v>449.06304518793092</v>
      </c>
      <c r="K122" s="251">
        <v>455.59267178772222</v>
      </c>
      <c r="L122" s="251">
        <v>508.09127397236585</v>
      </c>
      <c r="M122" s="251">
        <v>456.33394234436787</v>
      </c>
      <c r="N122" s="251">
        <v>420.15344482360553</v>
      </c>
      <c r="O122" s="251">
        <v>379.66482682423663</v>
      </c>
      <c r="P122" s="251">
        <v>406.23287488623379</v>
      </c>
      <c r="Q122" s="251">
        <v>408.30336459598868</v>
      </c>
    </row>
    <row r="123" spans="1:17" ht="11.4" customHeight="1">
      <c r="A123" s="235" t="s">
        <v>533</v>
      </c>
      <c r="B123" s="251" t="s">
        <v>658</v>
      </c>
      <c r="C123" s="251" t="s">
        <v>658</v>
      </c>
      <c r="D123" s="251" t="s">
        <v>658</v>
      </c>
      <c r="E123" s="251">
        <v>244.67724087039201</v>
      </c>
      <c r="F123" s="251">
        <v>247.79237846870595</v>
      </c>
      <c r="G123" s="251">
        <v>256.15238621376375</v>
      </c>
      <c r="H123" s="251">
        <v>374.49946858533082</v>
      </c>
      <c r="I123" s="251">
        <v>371.08607007168479</v>
      </c>
      <c r="J123" s="251">
        <v>479.16355262562286</v>
      </c>
      <c r="K123" s="251">
        <v>483.38897989122864</v>
      </c>
      <c r="L123" s="251">
        <v>398.11230322699873</v>
      </c>
      <c r="M123" s="251">
        <v>395.07536399387305</v>
      </c>
      <c r="N123" s="251">
        <v>400.25952385983322</v>
      </c>
      <c r="O123" s="251">
        <v>404.11965736539588</v>
      </c>
      <c r="P123" s="251">
        <v>406.6880660100008</v>
      </c>
      <c r="Q123" s="251">
        <v>408.49955972832299</v>
      </c>
    </row>
    <row r="124" spans="1:17" ht="11.4" customHeight="1">
      <c r="A124" s="233" t="s">
        <v>534</v>
      </c>
      <c r="B124" s="250">
        <v>22383.97552984325</v>
      </c>
      <c r="C124" s="250">
        <v>22127.763370974917</v>
      </c>
      <c r="D124" s="250">
        <v>22192.99812615597</v>
      </c>
      <c r="E124" s="250">
        <v>22046.918887254491</v>
      </c>
      <c r="F124" s="250">
        <v>22002.144122833975</v>
      </c>
      <c r="G124" s="250">
        <v>21939.645872756988</v>
      </c>
      <c r="H124" s="250">
        <v>22063.663524305492</v>
      </c>
      <c r="I124" s="250">
        <v>22029.13392382281</v>
      </c>
      <c r="J124" s="250">
        <v>21769.044188005257</v>
      </c>
      <c r="K124" s="250">
        <v>21465.578193076522</v>
      </c>
      <c r="L124" s="250">
        <v>21470.434974534015</v>
      </c>
      <c r="M124" s="250">
        <v>21289.115991260489</v>
      </c>
      <c r="N124" s="250">
        <v>20902.901207256789</v>
      </c>
      <c r="O124" s="250">
        <v>20775.03472213518</v>
      </c>
      <c r="P124" s="250">
        <v>20711.375074959451</v>
      </c>
      <c r="Q124" s="250">
        <v>20721.214834817267</v>
      </c>
    </row>
    <row r="125" spans="1:17" ht="11.4" customHeight="1">
      <c r="A125" s="235" t="s">
        <v>526</v>
      </c>
      <c r="B125" s="252">
        <v>4332.662613379237</v>
      </c>
      <c r="C125" s="252">
        <v>4329.8704056848319</v>
      </c>
      <c r="D125" s="252">
        <v>4338.2236017071709</v>
      </c>
      <c r="E125" s="252">
        <v>4183.4117274297132</v>
      </c>
      <c r="F125" s="252">
        <v>4093.1900311170098</v>
      </c>
      <c r="G125" s="252">
        <v>4025.3467862378343</v>
      </c>
      <c r="H125" s="252">
        <v>3977.9809446309978</v>
      </c>
      <c r="I125" s="252">
        <v>3885.9683276452029</v>
      </c>
      <c r="J125" s="252">
        <v>3832.464938507148</v>
      </c>
      <c r="K125" s="252">
        <v>3761.14315688343</v>
      </c>
      <c r="L125" s="252">
        <v>3662.1194182861941</v>
      </c>
      <c r="M125" s="252">
        <v>3496.4779190521717</v>
      </c>
      <c r="N125" s="252">
        <v>3331.7912324111135</v>
      </c>
      <c r="O125" s="252">
        <v>3054.3916082601013</v>
      </c>
      <c r="P125" s="252">
        <v>3079.2723736854496</v>
      </c>
      <c r="Q125" s="252">
        <v>2980.8676705932889</v>
      </c>
    </row>
    <row r="126" spans="1:17" ht="11.4" customHeight="1">
      <c r="A126" s="235" t="s">
        <v>527</v>
      </c>
      <c r="B126" s="252">
        <v>22852.586927976845</v>
      </c>
      <c r="C126" s="252">
        <v>22573.336420197364</v>
      </c>
      <c r="D126" s="252">
        <v>22620.356533649574</v>
      </c>
      <c r="E126" s="252">
        <v>22415.978651088488</v>
      </c>
      <c r="F126" s="252">
        <v>22355.359104400421</v>
      </c>
      <c r="G126" s="252">
        <v>22299.221812485663</v>
      </c>
      <c r="H126" s="252">
        <v>22390.853327024117</v>
      </c>
      <c r="I126" s="252">
        <v>22351.827314557708</v>
      </c>
      <c r="J126" s="252">
        <v>22092.366940592929</v>
      </c>
      <c r="K126" s="252">
        <v>21732.97730974741</v>
      </c>
      <c r="L126" s="252">
        <v>21708.34065225298</v>
      </c>
      <c r="M126" s="252">
        <v>21477.943328836216</v>
      </c>
      <c r="N126" s="252">
        <v>21005.541650301817</v>
      </c>
      <c r="O126" s="252">
        <v>20934.070845033657</v>
      </c>
      <c r="P126" s="252">
        <v>20898.590498906393</v>
      </c>
      <c r="Q126" s="252">
        <v>20839.612997437438</v>
      </c>
    </row>
    <row r="127" spans="1:17" ht="11.4" customHeight="1">
      <c r="A127" s="235" t="s">
        <v>528</v>
      </c>
      <c r="B127" s="252">
        <v>10795.353782334059</v>
      </c>
      <c r="C127" s="252">
        <v>10708.864356891949</v>
      </c>
      <c r="D127" s="252">
        <v>10747.610201081547</v>
      </c>
      <c r="E127" s="252">
        <v>10749.305734067188</v>
      </c>
      <c r="F127" s="252">
        <v>10276.449005586854</v>
      </c>
      <c r="G127" s="252">
        <v>10410.480511182383</v>
      </c>
      <c r="H127" s="252">
        <v>10442.913755324877</v>
      </c>
      <c r="I127" s="252">
        <v>10551.917179022485</v>
      </c>
      <c r="J127" s="252">
        <v>10639.069997620163</v>
      </c>
      <c r="K127" s="252">
        <v>10619.780460778018</v>
      </c>
      <c r="L127" s="252">
        <v>10854.548354556959</v>
      </c>
      <c r="M127" s="252">
        <v>10932.177145846452</v>
      </c>
      <c r="N127" s="252">
        <v>10927.898310559522</v>
      </c>
      <c r="O127" s="252">
        <v>10955.103816872919</v>
      </c>
      <c r="P127" s="252">
        <v>10951.660949928533</v>
      </c>
      <c r="Q127" s="252">
        <v>10940.890026420728</v>
      </c>
    </row>
    <row r="128" spans="1:17" ht="11.4" customHeight="1">
      <c r="A128" s="235" t="s">
        <v>529</v>
      </c>
      <c r="B128" s="252">
        <v>19891.365517497328</v>
      </c>
      <c r="C128" s="252">
        <v>19447.059587964617</v>
      </c>
      <c r="D128" s="252">
        <v>19789.695162067746</v>
      </c>
      <c r="E128" s="252">
        <v>20578.386353879981</v>
      </c>
      <c r="F128" s="252">
        <v>21120.017926372875</v>
      </c>
      <c r="G128" s="252">
        <v>19392.589594222427</v>
      </c>
      <c r="H128" s="252">
        <v>20884.316006775109</v>
      </c>
      <c r="I128" s="252">
        <v>20011.032832024724</v>
      </c>
      <c r="J128" s="252">
        <v>18912.154986519738</v>
      </c>
      <c r="K128" s="252">
        <v>20202.025410878337</v>
      </c>
      <c r="L128" s="252">
        <v>21055.651498476618</v>
      </c>
      <c r="M128" s="252">
        <v>22143.218852978778</v>
      </c>
      <c r="N128" s="252">
        <v>23885.543851325405</v>
      </c>
      <c r="O128" s="252">
        <v>22740.454952270291</v>
      </c>
      <c r="P128" s="252">
        <v>21117.236496895457</v>
      </c>
      <c r="Q128" s="252">
        <v>22205.23003964829</v>
      </c>
    </row>
    <row r="129" spans="1:17" ht="11.4" customHeight="1">
      <c r="A129" s="235" t="s">
        <v>533</v>
      </c>
      <c r="B129" s="252">
        <v>13732.785709557855</v>
      </c>
      <c r="C129" s="252">
        <v>13638.700456584498</v>
      </c>
      <c r="D129" s="252">
        <v>13644.323928215568</v>
      </c>
      <c r="E129" s="252">
        <v>13666.113139268165</v>
      </c>
      <c r="F129" s="252">
        <v>13699.917334225314</v>
      </c>
      <c r="G129" s="252">
        <v>13235.962691405921</v>
      </c>
      <c r="H129" s="252">
        <v>13124.894469717561</v>
      </c>
      <c r="I129" s="252">
        <v>13149.736529919093</v>
      </c>
      <c r="J129" s="252">
        <v>13191.764986300925</v>
      </c>
      <c r="K129" s="252">
        <v>13232.010766659205</v>
      </c>
      <c r="L129" s="252">
        <v>13243.652473446553</v>
      </c>
      <c r="M129" s="252">
        <v>13177.558764271276</v>
      </c>
      <c r="N129" s="252">
        <v>13194.89170801665</v>
      </c>
      <c r="O129" s="252">
        <v>12381.768477592388</v>
      </c>
      <c r="P129" s="252">
        <v>12089.116982196039</v>
      </c>
      <c r="Q129" s="252">
        <v>12132.807542122269</v>
      </c>
    </row>
    <row r="130" spans="1:17" ht="11.4" customHeight="1">
      <c r="A130" s="227" t="s">
        <v>535</v>
      </c>
      <c r="B130" s="248"/>
      <c r="C130" s="248"/>
      <c r="D130" s="248"/>
      <c r="E130" s="248"/>
      <c r="F130" s="248"/>
      <c r="G130" s="248"/>
      <c r="H130" s="248"/>
      <c r="I130" s="248"/>
      <c r="J130" s="248"/>
      <c r="K130" s="248"/>
      <c r="L130" s="248"/>
      <c r="M130" s="248"/>
      <c r="N130" s="248"/>
      <c r="O130" s="248"/>
      <c r="P130" s="248"/>
      <c r="Q130" s="248"/>
    </row>
    <row r="131" spans="1:17" ht="11.4" customHeight="1">
      <c r="A131" s="239" t="s">
        <v>536</v>
      </c>
      <c r="B131" s="249">
        <v>1325.1961048886189</v>
      </c>
      <c r="C131" s="249">
        <v>1302.7877332428682</v>
      </c>
      <c r="D131" s="249">
        <v>1295.9650308947184</v>
      </c>
      <c r="E131" s="249">
        <v>1310.2981728868613</v>
      </c>
      <c r="F131" s="249">
        <v>1304.7687287134111</v>
      </c>
      <c r="G131" s="249">
        <v>1306.8991103986029</v>
      </c>
      <c r="H131" s="249">
        <v>1273.4420465049889</v>
      </c>
      <c r="I131" s="249">
        <v>1267.8970921458565</v>
      </c>
      <c r="J131" s="249">
        <v>1241.0034590898663</v>
      </c>
      <c r="K131" s="249">
        <v>1237.9257859524855</v>
      </c>
      <c r="L131" s="249">
        <v>1258.4164973897241</v>
      </c>
      <c r="M131" s="249">
        <v>1257.9786935862462</v>
      </c>
      <c r="N131" s="249">
        <v>1224.3647755163299</v>
      </c>
      <c r="O131" s="249">
        <v>1194.1050668355256</v>
      </c>
      <c r="P131" s="249">
        <v>1194.8881581167086</v>
      </c>
      <c r="Q131" s="249">
        <v>1170.0976113659226</v>
      </c>
    </row>
    <row r="132" spans="1:17" ht="11.4" customHeight="1">
      <c r="A132" s="235" t="s">
        <v>526</v>
      </c>
      <c r="B132" s="251">
        <v>1116.351269156414</v>
      </c>
      <c r="C132" s="251">
        <v>1086.4481819589012</v>
      </c>
      <c r="D132" s="251">
        <v>1077.5757775161005</v>
      </c>
      <c r="E132" s="251">
        <v>1061.9269708243769</v>
      </c>
      <c r="F132" s="251">
        <v>1034.1676749254264</v>
      </c>
      <c r="G132" s="251">
        <v>1012.986886782565</v>
      </c>
      <c r="H132" s="251">
        <v>989.28942914598895</v>
      </c>
      <c r="I132" s="251">
        <v>967.2164906195344</v>
      </c>
      <c r="J132" s="251">
        <v>901.85934527841994</v>
      </c>
      <c r="K132" s="251">
        <v>883.48548852970214</v>
      </c>
      <c r="L132" s="251">
        <v>849.77325959019902</v>
      </c>
      <c r="M132" s="251">
        <v>826.75030453868749</v>
      </c>
      <c r="N132" s="251">
        <v>796.94825516696017</v>
      </c>
      <c r="O132" s="251">
        <v>781.56740072089394</v>
      </c>
      <c r="P132" s="251">
        <v>776.96847230879609</v>
      </c>
      <c r="Q132" s="251">
        <v>763.81602056883094</v>
      </c>
    </row>
    <row r="133" spans="1:17" ht="11.4" customHeight="1">
      <c r="A133" s="235" t="s">
        <v>527</v>
      </c>
      <c r="B133" s="251">
        <v>1377.2164473792059</v>
      </c>
      <c r="C133" s="251">
        <v>1352.439002042159</v>
      </c>
      <c r="D133" s="251">
        <v>1342.0892122745638</v>
      </c>
      <c r="E133" s="251">
        <v>1358.8161628526691</v>
      </c>
      <c r="F133" s="251">
        <v>1352.2591281144948</v>
      </c>
      <c r="G133" s="251">
        <v>1354.435925431063</v>
      </c>
      <c r="H133" s="251">
        <v>1316.1820200980965</v>
      </c>
      <c r="I133" s="251">
        <v>1308.7177447021461</v>
      </c>
      <c r="J133" s="251">
        <v>1285.1012451174674</v>
      </c>
      <c r="K133" s="251">
        <v>1282.2118292276034</v>
      </c>
      <c r="L133" s="251">
        <v>1307.0353062956376</v>
      </c>
      <c r="M133" s="251">
        <v>1306.7122567700244</v>
      </c>
      <c r="N133" s="251">
        <v>1270.716810901775</v>
      </c>
      <c r="O133" s="251">
        <v>1237.0844534143644</v>
      </c>
      <c r="P133" s="251">
        <v>1236.4065977528533</v>
      </c>
      <c r="Q133" s="251">
        <v>1209.4337895679389</v>
      </c>
    </row>
    <row r="134" spans="1:17" ht="11.4" customHeight="1">
      <c r="A134" s="235" t="s">
        <v>528</v>
      </c>
      <c r="B134" s="251">
        <v>876.12467775022515</v>
      </c>
      <c r="C134" s="251">
        <v>963.05326637751671</v>
      </c>
      <c r="D134" s="251">
        <v>997.20436127642654</v>
      </c>
      <c r="E134" s="251">
        <v>1007.5599104876239</v>
      </c>
      <c r="F134" s="251">
        <v>1018.1343858800496</v>
      </c>
      <c r="G134" s="251">
        <v>1005.1899637900367</v>
      </c>
      <c r="H134" s="251">
        <v>991.73442928965051</v>
      </c>
      <c r="I134" s="251">
        <v>985.45842341875948</v>
      </c>
      <c r="J134" s="251">
        <v>959.45857573495334</v>
      </c>
      <c r="K134" s="251">
        <v>923.37000301119758</v>
      </c>
      <c r="L134" s="251">
        <v>921.59176725113207</v>
      </c>
      <c r="M134" s="251">
        <v>910.39312468370133</v>
      </c>
      <c r="N134" s="251">
        <v>909.55224481519156</v>
      </c>
      <c r="O134" s="251">
        <v>915.22430208731146</v>
      </c>
      <c r="P134" s="251">
        <v>899.19050903740401</v>
      </c>
      <c r="Q134" s="251">
        <v>889.73899002771168</v>
      </c>
    </row>
    <row r="135" spans="1:17" ht="11.4" customHeight="1">
      <c r="A135" s="235" t="s">
        <v>529</v>
      </c>
      <c r="B135" s="251">
        <v>1415.7331833266578</v>
      </c>
      <c r="C135" s="251">
        <v>1386.182798075188</v>
      </c>
      <c r="D135" s="251">
        <v>1357.5768079711738</v>
      </c>
      <c r="E135" s="251">
        <v>1327.4042170379696</v>
      </c>
      <c r="F135" s="251">
        <v>1314.4685503888099</v>
      </c>
      <c r="G135" s="251">
        <v>1298.8848464799523</v>
      </c>
      <c r="H135" s="251">
        <v>1287.5419573871409</v>
      </c>
      <c r="I135" s="251">
        <v>1321.5283514588555</v>
      </c>
      <c r="J135" s="251">
        <v>1286.3531456294818</v>
      </c>
      <c r="K135" s="251">
        <v>1237.7694207690306</v>
      </c>
      <c r="L135" s="251">
        <v>1214.9061342292525</v>
      </c>
      <c r="M135" s="251">
        <v>1192.0007487115588</v>
      </c>
      <c r="N135" s="251">
        <v>1136.765678184511</v>
      </c>
      <c r="O135" s="251">
        <v>1107.0009903177615</v>
      </c>
      <c r="P135" s="251">
        <v>1096.3052938608184</v>
      </c>
      <c r="Q135" s="251">
        <v>1049.7814044140212</v>
      </c>
    </row>
    <row r="136" spans="1:17" ht="11.4" customHeight="1">
      <c r="A136" s="235" t="s">
        <v>533</v>
      </c>
      <c r="B136" s="251">
        <v>451.20769792208034</v>
      </c>
      <c r="C136" s="251">
        <v>435.53588383662054</v>
      </c>
      <c r="D136" s="251">
        <v>432.86454229381536</v>
      </c>
      <c r="E136" s="251">
        <v>430.86276008021014</v>
      </c>
      <c r="F136" s="251">
        <v>450.10664933624463</v>
      </c>
      <c r="G136" s="251">
        <v>448.90685978385119</v>
      </c>
      <c r="H136" s="251">
        <v>444.15618900972964</v>
      </c>
      <c r="I136" s="251">
        <v>440.00351451179966</v>
      </c>
      <c r="J136" s="251">
        <v>437.59129811069852</v>
      </c>
      <c r="K136" s="251">
        <v>434.17611516230795</v>
      </c>
      <c r="L136" s="251">
        <v>433.91818999046245</v>
      </c>
      <c r="M136" s="251">
        <v>441.59083533431408</v>
      </c>
      <c r="N136" s="251">
        <v>435.83027163870986</v>
      </c>
      <c r="O136" s="251">
        <v>429.96232326693155</v>
      </c>
      <c r="P136" s="251">
        <v>438.88137781966742</v>
      </c>
      <c r="Q136" s="251">
        <v>443.29531131523561</v>
      </c>
    </row>
    <row r="137" spans="1:17" ht="11.4" customHeight="1">
      <c r="A137" s="233" t="s">
        <v>544</v>
      </c>
      <c r="B137" s="250">
        <v>11786.920819947671</v>
      </c>
      <c r="C137" s="250">
        <v>11955.302045657532</v>
      </c>
      <c r="D137" s="250">
        <v>11931.290856992764</v>
      </c>
      <c r="E137" s="250">
        <v>12264.548740017621</v>
      </c>
      <c r="F137" s="250">
        <v>12809.677380668616</v>
      </c>
      <c r="G137" s="250">
        <v>13098.679336102412</v>
      </c>
      <c r="H137" s="250">
        <v>13205.768311488509</v>
      </c>
      <c r="I137" s="250">
        <v>13646.796523262754</v>
      </c>
      <c r="J137" s="250">
        <v>13064.638780415644</v>
      </c>
      <c r="K137" s="250">
        <v>12265.323492093108</v>
      </c>
      <c r="L137" s="250">
        <v>12649.557697813923</v>
      </c>
      <c r="M137" s="250">
        <v>12357.015453079111</v>
      </c>
      <c r="N137" s="250">
        <v>12044.696014046405</v>
      </c>
      <c r="O137" s="250">
        <v>11856.839069835965</v>
      </c>
      <c r="P137" s="250">
        <v>11590.525498108105</v>
      </c>
      <c r="Q137" s="250">
        <v>11572.419346126189</v>
      </c>
    </row>
    <row r="138" spans="1:17" ht="11.4" customHeight="1">
      <c r="A138" s="223" t="s">
        <v>538</v>
      </c>
      <c r="B138" s="252">
        <v>9436.2196148632793</v>
      </c>
      <c r="C138" s="252">
        <v>9618.3619780838471</v>
      </c>
      <c r="D138" s="252">
        <v>9547.9492750343506</v>
      </c>
      <c r="E138" s="252">
        <v>9768.5693032532508</v>
      </c>
      <c r="F138" s="252">
        <v>10341.54696521436</v>
      </c>
      <c r="G138" s="252">
        <v>10595.258327373906</v>
      </c>
      <c r="H138" s="252">
        <v>10558.993046560852</v>
      </c>
      <c r="I138" s="252">
        <v>11056.299274447871</v>
      </c>
      <c r="J138" s="252">
        <v>10569.778356040193</v>
      </c>
      <c r="K138" s="252">
        <v>9890.9116690904084</v>
      </c>
      <c r="L138" s="252">
        <v>9950.2123348799378</v>
      </c>
      <c r="M138" s="252">
        <v>9706.5938224238762</v>
      </c>
      <c r="N138" s="252">
        <v>9224.4640555789611</v>
      </c>
      <c r="O138" s="252">
        <v>8958.7585883310148</v>
      </c>
      <c r="P138" s="252">
        <v>8938.6967260280144</v>
      </c>
      <c r="Q138" s="252">
        <v>8857.4260184169052</v>
      </c>
    </row>
    <row r="139" spans="1:17" ht="11.4" customHeight="1">
      <c r="A139" s="246" t="s">
        <v>539</v>
      </c>
      <c r="B139" s="253">
        <v>47234.307474498317</v>
      </c>
      <c r="C139" s="253">
        <v>45564.088176458165</v>
      </c>
      <c r="D139" s="253">
        <v>45152.040957916171</v>
      </c>
      <c r="E139" s="253">
        <v>46610.410680830944</v>
      </c>
      <c r="F139" s="253">
        <v>41793.775654033627</v>
      </c>
      <c r="G139" s="253">
        <v>41722.026693005035</v>
      </c>
      <c r="H139" s="253">
        <v>42731.239954633224</v>
      </c>
      <c r="I139" s="253">
        <v>41596.58119941911</v>
      </c>
      <c r="J139" s="253">
        <v>40504.524542129089</v>
      </c>
      <c r="K139" s="253">
        <v>41469.116290953367</v>
      </c>
      <c r="L139" s="253">
        <v>44429.081565612323</v>
      </c>
      <c r="M139" s="253">
        <v>43833.554663096649</v>
      </c>
      <c r="N139" s="253">
        <v>44951.68270036875</v>
      </c>
      <c r="O139" s="253">
        <v>43818.504454827656</v>
      </c>
      <c r="P139" s="253">
        <v>41057.943438351242</v>
      </c>
      <c r="Q139" s="253">
        <v>41750.104798789325</v>
      </c>
    </row>
    <row r="141" spans="1:17" ht="11.4" customHeight="1">
      <c r="A141" s="217" t="s">
        <v>549</v>
      </c>
      <c r="B141" s="254">
        <f t="shared" ref="B141:Q143" si="10">IF(B17=0,0,B17/B$17)</f>
        <v>1</v>
      </c>
      <c r="C141" s="254">
        <f t="shared" si="10"/>
        <v>1</v>
      </c>
      <c r="D141" s="254">
        <f t="shared" si="10"/>
        <v>1</v>
      </c>
      <c r="E141" s="254">
        <f t="shared" si="10"/>
        <v>1</v>
      </c>
      <c r="F141" s="254">
        <f t="shared" si="10"/>
        <v>1</v>
      </c>
      <c r="G141" s="254">
        <f t="shared" si="10"/>
        <v>1</v>
      </c>
      <c r="H141" s="254">
        <f t="shared" si="10"/>
        <v>1</v>
      </c>
      <c r="I141" s="254">
        <f t="shared" si="10"/>
        <v>1</v>
      </c>
      <c r="J141" s="254">
        <f t="shared" si="10"/>
        <v>1</v>
      </c>
      <c r="K141" s="254">
        <f t="shared" si="10"/>
        <v>1</v>
      </c>
      <c r="L141" s="254">
        <f t="shared" si="10"/>
        <v>1</v>
      </c>
      <c r="M141" s="254">
        <f t="shared" si="10"/>
        <v>1</v>
      </c>
      <c r="N141" s="254">
        <f t="shared" si="10"/>
        <v>1</v>
      </c>
      <c r="O141" s="254">
        <f t="shared" si="10"/>
        <v>1</v>
      </c>
      <c r="P141" s="254">
        <f t="shared" si="10"/>
        <v>1</v>
      </c>
      <c r="Q141" s="254">
        <f t="shared" si="10"/>
        <v>1</v>
      </c>
    </row>
    <row r="142" spans="1:17" ht="11.4" customHeight="1">
      <c r="A142" s="227" t="s">
        <v>522</v>
      </c>
      <c r="B142" s="255">
        <f t="shared" si="10"/>
        <v>0.67256100232382932</v>
      </c>
      <c r="C142" s="255">
        <f t="shared" si="10"/>
        <v>0.66884203223960326</v>
      </c>
      <c r="D142" s="255">
        <f t="shared" si="10"/>
        <v>0.66838879421143127</v>
      </c>
      <c r="E142" s="255">
        <f t="shared" si="10"/>
        <v>0.6599752005384113</v>
      </c>
      <c r="F142" s="255">
        <f t="shared" si="10"/>
        <v>0.65321253154195236</v>
      </c>
      <c r="G142" s="255">
        <f t="shared" si="10"/>
        <v>0.64429422233893807</v>
      </c>
      <c r="H142" s="255">
        <f t="shared" si="10"/>
        <v>0.64421545448017692</v>
      </c>
      <c r="I142" s="255">
        <f t="shared" si="10"/>
        <v>0.63638668809099552</v>
      </c>
      <c r="J142" s="255">
        <f t="shared" si="10"/>
        <v>0.63953404830574856</v>
      </c>
      <c r="K142" s="255">
        <f t="shared" si="10"/>
        <v>0.65055840231287942</v>
      </c>
      <c r="L142" s="255">
        <f t="shared" si="10"/>
        <v>0.64050987389220904</v>
      </c>
      <c r="M142" s="255">
        <f t="shared" si="10"/>
        <v>0.64059972425919387</v>
      </c>
      <c r="N142" s="255">
        <f t="shared" si="10"/>
        <v>0.64310200036596155</v>
      </c>
      <c r="O142" s="255">
        <f t="shared" si="10"/>
        <v>0.64501658405029061</v>
      </c>
      <c r="P142" s="255">
        <f t="shared" si="10"/>
        <v>0.65122452709150735</v>
      </c>
      <c r="Q142" s="255">
        <f t="shared" si="10"/>
        <v>0.65027870503893048</v>
      </c>
    </row>
    <row r="143" spans="1:17" ht="11.4" customHeight="1">
      <c r="A143" s="256" t="s">
        <v>542</v>
      </c>
      <c r="B143" s="257">
        <f t="shared" si="10"/>
        <v>1.2685874781740476E-2</v>
      </c>
      <c r="C143" s="257">
        <f t="shared" si="10"/>
        <v>1.2843624367618019E-2</v>
      </c>
      <c r="D143" s="257">
        <f t="shared" si="10"/>
        <v>1.281327735353977E-2</v>
      </c>
      <c r="E143" s="257">
        <f t="shared" si="10"/>
        <v>1.2994606665525996E-2</v>
      </c>
      <c r="F143" s="257">
        <f t="shared" si="10"/>
        <v>1.2887473551458778E-2</v>
      </c>
      <c r="G143" s="257">
        <f t="shared" si="10"/>
        <v>1.3158342147015419E-2</v>
      </c>
      <c r="H143" s="257">
        <f t="shared" si="10"/>
        <v>1.2613921509126078E-2</v>
      </c>
      <c r="I143" s="257">
        <f t="shared" si="10"/>
        <v>1.1989751098681625E-2</v>
      </c>
      <c r="J143" s="257">
        <f t="shared" si="10"/>
        <v>1.2487860256804055E-2</v>
      </c>
      <c r="K143" s="257">
        <f t="shared" si="10"/>
        <v>1.2652429905666198E-2</v>
      </c>
      <c r="L143" s="257">
        <f t="shared" si="10"/>
        <v>1.2880343183847082E-2</v>
      </c>
      <c r="M143" s="257">
        <f t="shared" si="10"/>
        <v>1.3025366492918002E-2</v>
      </c>
      <c r="N143" s="257">
        <f t="shared" si="10"/>
        <v>1.3120858324520443E-2</v>
      </c>
      <c r="O143" s="257">
        <f t="shared" si="10"/>
        <v>1.3040819338745511E-2</v>
      </c>
      <c r="P143" s="257">
        <f t="shared" si="10"/>
        <v>1.3144895919764933E-2</v>
      </c>
      <c r="Q143" s="257">
        <f t="shared" si="10"/>
        <v>1.308345820707927E-2</v>
      </c>
    </row>
    <row r="144" spans="1:17" ht="11.4" customHeight="1">
      <c r="A144" s="258" t="s">
        <v>525</v>
      </c>
      <c r="B144" s="259">
        <f t="shared" ref="B144:Q145" si="11">IF(B21=0,0,B21/B$17)</f>
        <v>0.60749015845512577</v>
      </c>
      <c r="C144" s="259">
        <f t="shared" si="11"/>
        <v>0.60436348903477621</v>
      </c>
      <c r="D144" s="259">
        <f t="shared" si="11"/>
        <v>0.60487837227845409</v>
      </c>
      <c r="E144" s="259">
        <f t="shared" si="11"/>
        <v>0.59671088206586609</v>
      </c>
      <c r="F144" s="259">
        <f t="shared" si="11"/>
        <v>0.59093150353932888</v>
      </c>
      <c r="G144" s="259">
        <f t="shared" si="11"/>
        <v>0.58261986919685282</v>
      </c>
      <c r="H144" s="259">
        <f t="shared" si="11"/>
        <v>0.58361008827520455</v>
      </c>
      <c r="I144" s="259">
        <f t="shared" si="11"/>
        <v>0.57711015631253026</v>
      </c>
      <c r="J144" s="259">
        <f t="shared" si="11"/>
        <v>0.57892487161639272</v>
      </c>
      <c r="K144" s="259">
        <f t="shared" si="11"/>
        <v>0.58943348609717661</v>
      </c>
      <c r="L144" s="259">
        <f t="shared" si="11"/>
        <v>0.57916821253165729</v>
      </c>
      <c r="M144" s="259">
        <f t="shared" si="11"/>
        <v>0.5789514333871153</v>
      </c>
      <c r="N144" s="259">
        <f t="shared" si="11"/>
        <v>0.58111604305792264</v>
      </c>
      <c r="O144" s="259">
        <f t="shared" si="11"/>
        <v>0.58257830405195676</v>
      </c>
      <c r="P144" s="259">
        <f t="shared" si="11"/>
        <v>0.58898257967838374</v>
      </c>
      <c r="Q144" s="259">
        <f t="shared" si="11"/>
        <v>0.58713848864956608</v>
      </c>
    </row>
    <row r="145" spans="1:17" ht="11.4" customHeight="1">
      <c r="A145" s="260" t="s">
        <v>526</v>
      </c>
      <c r="B145" s="261">
        <f t="shared" si="11"/>
        <v>0.44197498686159847</v>
      </c>
      <c r="C145" s="261">
        <f t="shared" si="11"/>
        <v>0.42800674970198593</v>
      </c>
      <c r="D145" s="261">
        <f t="shared" si="11"/>
        <v>0.41678991955780631</v>
      </c>
      <c r="E145" s="261">
        <f t="shared" si="11"/>
        <v>0.39685738515772062</v>
      </c>
      <c r="F145" s="261">
        <f t="shared" si="11"/>
        <v>0.37661992646854281</v>
      </c>
      <c r="G145" s="261">
        <f t="shared" si="11"/>
        <v>0.35875755134865939</v>
      </c>
      <c r="H145" s="261">
        <f t="shared" si="11"/>
        <v>0.34102645551188321</v>
      </c>
      <c r="I145" s="261">
        <f t="shared" si="11"/>
        <v>0.3255370564419594</v>
      </c>
      <c r="J145" s="261">
        <f t="shared" si="11"/>
        <v>0.31439544215322918</v>
      </c>
      <c r="K145" s="261">
        <f t="shared" si="11"/>
        <v>0.30983821776341786</v>
      </c>
      <c r="L145" s="261">
        <f t="shared" si="11"/>
        <v>0.29411790232533397</v>
      </c>
      <c r="M145" s="261">
        <f t="shared" si="11"/>
        <v>0.28481086116870996</v>
      </c>
      <c r="N145" s="261">
        <f t="shared" si="11"/>
        <v>0.27381938580800969</v>
      </c>
      <c r="O145" s="261">
        <f t="shared" si="11"/>
        <v>0.26669616300672994</v>
      </c>
      <c r="P145" s="261">
        <f t="shared" si="11"/>
        <v>0.26099926377105148</v>
      </c>
      <c r="Q145" s="261">
        <f t="shared" si="11"/>
        <v>0.25232416556154735</v>
      </c>
    </row>
    <row r="146" spans="1:17" ht="11.4" customHeight="1">
      <c r="A146" s="260" t="s">
        <v>527</v>
      </c>
      <c r="B146" s="261">
        <f t="shared" ref="B146:Q146" si="12">IF(B24=0,0,B24/B$17)</f>
        <v>0.15210176588740421</v>
      </c>
      <c r="C146" s="261">
        <f t="shared" si="12"/>
        <v>0.16237310349167547</v>
      </c>
      <c r="D146" s="261">
        <f t="shared" si="12"/>
        <v>0.17357851078528563</v>
      </c>
      <c r="E146" s="261">
        <f t="shared" si="12"/>
        <v>0.1850362977286743</v>
      </c>
      <c r="F146" s="261">
        <f t="shared" si="12"/>
        <v>0.19871957958967676</v>
      </c>
      <c r="G146" s="261">
        <f t="shared" si="12"/>
        <v>0.20763607601054618</v>
      </c>
      <c r="H146" s="261">
        <f t="shared" si="12"/>
        <v>0.2260326961043406</v>
      </c>
      <c r="I146" s="261">
        <f t="shared" si="12"/>
        <v>0.23523979324556135</v>
      </c>
      <c r="J146" s="261">
        <f t="shared" si="12"/>
        <v>0.24731054689607615</v>
      </c>
      <c r="K146" s="261">
        <f t="shared" si="12"/>
        <v>0.26091586882938472</v>
      </c>
      <c r="L146" s="261">
        <f t="shared" si="12"/>
        <v>0.26585283193266079</v>
      </c>
      <c r="M146" s="261">
        <f t="shared" si="12"/>
        <v>0.27396389452099146</v>
      </c>
      <c r="N146" s="261">
        <f t="shared" si="12"/>
        <v>0.2863369961335685</v>
      </c>
      <c r="O146" s="261">
        <f t="shared" si="12"/>
        <v>0.29330101572704081</v>
      </c>
      <c r="P146" s="261">
        <f t="shared" si="12"/>
        <v>0.30523631019228409</v>
      </c>
      <c r="Q146" s="261">
        <f t="shared" si="12"/>
        <v>0.31184082753832004</v>
      </c>
    </row>
    <row r="147" spans="1:17" ht="11.4" customHeight="1">
      <c r="A147" s="260" t="s">
        <v>528</v>
      </c>
      <c r="B147" s="261">
        <f t="shared" ref="B147:Q148" si="13">IF(B26=0,0,B26/B$17)</f>
        <v>1.2358658240781891E-2</v>
      </c>
      <c r="C147" s="261">
        <f t="shared" si="13"/>
        <v>1.2790995344896843E-2</v>
      </c>
      <c r="D147" s="261">
        <f t="shared" si="13"/>
        <v>1.333750428896693E-2</v>
      </c>
      <c r="E147" s="261">
        <f t="shared" si="13"/>
        <v>1.3681073474692291E-2</v>
      </c>
      <c r="F147" s="261">
        <f t="shared" si="13"/>
        <v>1.4438052723269479E-2</v>
      </c>
      <c r="G147" s="261">
        <f t="shared" si="13"/>
        <v>1.4831791534107042E-2</v>
      </c>
      <c r="H147" s="261">
        <f t="shared" si="13"/>
        <v>1.5000525578679339E-2</v>
      </c>
      <c r="I147" s="261">
        <f t="shared" si="13"/>
        <v>1.4629988799561081E-2</v>
      </c>
      <c r="J147" s="261">
        <f t="shared" si="13"/>
        <v>1.5330071709766727E-2</v>
      </c>
      <c r="K147" s="261">
        <f t="shared" si="13"/>
        <v>1.6473076166017654E-2</v>
      </c>
      <c r="L147" s="261">
        <f t="shared" si="13"/>
        <v>1.6665253921203202E-2</v>
      </c>
      <c r="M147" s="261">
        <f t="shared" si="13"/>
        <v>1.7496178009115872E-2</v>
      </c>
      <c r="N147" s="261">
        <f t="shared" si="13"/>
        <v>1.7947673791532441E-2</v>
      </c>
      <c r="O147" s="261">
        <f t="shared" si="13"/>
        <v>1.922681183114186E-2</v>
      </c>
      <c r="P147" s="261">
        <f t="shared" si="13"/>
        <v>1.9045845611278537E-2</v>
      </c>
      <c r="Q147" s="261">
        <f t="shared" si="13"/>
        <v>1.8989852419426762E-2</v>
      </c>
    </row>
    <row r="148" spans="1:17" ht="11.4" customHeight="1">
      <c r="A148" s="260" t="s">
        <v>529</v>
      </c>
      <c r="B148" s="261">
        <f t="shared" si="13"/>
        <v>1.0547474653412492E-3</v>
      </c>
      <c r="C148" s="261">
        <f t="shared" si="13"/>
        <v>1.1926404962180593E-3</v>
      </c>
      <c r="D148" s="261">
        <f t="shared" si="13"/>
        <v>1.1724376463952259E-3</v>
      </c>
      <c r="E148" s="261">
        <f t="shared" si="13"/>
        <v>1.1361182240609792E-3</v>
      </c>
      <c r="F148" s="261">
        <f t="shared" si="13"/>
        <v>1.1539340480966867E-3</v>
      </c>
      <c r="G148" s="261">
        <f t="shared" si="13"/>
        <v>1.3944375671682378E-3</v>
      </c>
      <c r="H148" s="261">
        <f t="shared" si="13"/>
        <v>1.5503502309312204E-3</v>
      </c>
      <c r="I148" s="261">
        <f t="shared" si="13"/>
        <v>1.7032275944118657E-3</v>
      </c>
      <c r="J148" s="261">
        <f t="shared" si="13"/>
        <v>1.8869607237259711E-3</v>
      </c>
      <c r="K148" s="261">
        <f t="shared" si="13"/>
        <v>2.2026544685932567E-3</v>
      </c>
      <c r="L148" s="261">
        <f t="shared" si="13"/>
        <v>2.520707759532509E-3</v>
      </c>
      <c r="M148" s="261">
        <f t="shared" si="13"/>
        <v>2.6469121132196866E-3</v>
      </c>
      <c r="N148" s="261">
        <f t="shared" si="13"/>
        <v>2.947120873452517E-3</v>
      </c>
      <c r="O148" s="261">
        <f t="shared" si="13"/>
        <v>3.2212825039789777E-3</v>
      </c>
      <c r="P148" s="261">
        <f t="shared" si="13"/>
        <v>3.4287631365437369E-3</v>
      </c>
      <c r="Q148" s="261">
        <f t="shared" si="13"/>
        <v>3.5132634258406453E-3</v>
      </c>
    </row>
    <row r="149" spans="1:17" ht="11.4" customHeight="1">
      <c r="A149" s="260" t="s">
        <v>543</v>
      </c>
      <c r="B149" s="261">
        <f t="shared" ref="B149:Q149" si="14">IF(B29=0,0,B29/B$17)</f>
        <v>0</v>
      </c>
      <c r="C149" s="261">
        <f t="shared" si="14"/>
        <v>0</v>
      </c>
      <c r="D149" s="261">
        <f t="shared" si="14"/>
        <v>0</v>
      </c>
      <c r="E149" s="261">
        <f t="shared" si="14"/>
        <v>0</v>
      </c>
      <c r="F149" s="261">
        <f t="shared" si="14"/>
        <v>0</v>
      </c>
      <c r="G149" s="261">
        <f t="shared" si="14"/>
        <v>0</v>
      </c>
      <c r="H149" s="261">
        <f t="shared" si="14"/>
        <v>0</v>
      </c>
      <c r="I149" s="261">
        <f t="shared" si="14"/>
        <v>0</v>
      </c>
      <c r="J149" s="261">
        <f t="shared" si="14"/>
        <v>1.9270408104354962E-7</v>
      </c>
      <c r="K149" s="261">
        <f t="shared" si="14"/>
        <v>2.5007683567392925E-7</v>
      </c>
      <c r="L149" s="261">
        <f t="shared" si="14"/>
        <v>6.5996103598860088E-7</v>
      </c>
      <c r="M149" s="261">
        <f t="shared" si="14"/>
        <v>9.3571145913348906E-7</v>
      </c>
      <c r="N149" s="261">
        <f t="shared" si="14"/>
        <v>9.9402211596885339E-6</v>
      </c>
      <c r="O149" s="261">
        <f t="shared" si="14"/>
        <v>4.1112380054965142E-5</v>
      </c>
      <c r="P149" s="261">
        <f t="shared" si="14"/>
        <v>1.3019435620463719E-4</v>
      </c>
      <c r="Q149" s="261">
        <f t="shared" si="14"/>
        <v>2.5216810319875438E-4</v>
      </c>
    </row>
    <row r="150" spans="1:17" ht="11.4" customHeight="1">
      <c r="A150" s="260" t="s">
        <v>533</v>
      </c>
      <c r="B150" s="261">
        <f t="shared" ref="B150:Q152" si="15">IF(B32=0,0,B32/B$17)</f>
        <v>0</v>
      </c>
      <c r="C150" s="261">
        <f t="shared" si="15"/>
        <v>0</v>
      </c>
      <c r="D150" s="261">
        <f t="shared" si="15"/>
        <v>0</v>
      </c>
      <c r="E150" s="261">
        <f t="shared" si="15"/>
        <v>7.4807178418476647E-9</v>
      </c>
      <c r="F150" s="261">
        <f t="shared" si="15"/>
        <v>1.070974310132201E-8</v>
      </c>
      <c r="G150" s="261">
        <f t="shared" si="15"/>
        <v>1.2736371950667051E-8</v>
      </c>
      <c r="H150" s="261">
        <f t="shared" si="15"/>
        <v>6.0849370099984083E-8</v>
      </c>
      <c r="I150" s="261">
        <f t="shared" si="15"/>
        <v>9.0231036632133589E-8</v>
      </c>
      <c r="J150" s="261">
        <f t="shared" si="15"/>
        <v>1.657429513754639E-6</v>
      </c>
      <c r="K150" s="261">
        <f t="shared" si="15"/>
        <v>3.4187929274774717E-6</v>
      </c>
      <c r="L150" s="261">
        <f t="shared" si="15"/>
        <v>1.0856631890818183E-5</v>
      </c>
      <c r="M150" s="261">
        <f t="shared" si="15"/>
        <v>3.2651863619310528E-5</v>
      </c>
      <c r="N150" s="261">
        <f t="shared" si="15"/>
        <v>5.4926230199899557E-5</v>
      </c>
      <c r="O150" s="261">
        <f t="shared" si="15"/>
        <v>9.1918603010130798E-5</v>
      </c>
      <c r="P150" s="261">
        <f t="shared" si="15"/>
        <v>1.4220261102120563E-4</v>
      </c>
      <c r="Q150" s="261">
        <f t="shared" si="15"/>
        <v>2.1821160123246301E-4</v>
      </c>
    </row>
    <row r="151" spans="1:17" ht="11.4" customHeight="1">
      <c r="A151" s="258" t="s">
        <v>534</v>
      </c>
      <c r="B151" s="259">
        <f t="shared" si="15"/>
        <v>5.238496908696301E-2</v>
      </c>
      <c r="C151" s="259">
        <f t="shared" si="15"/>
        <v>5.1634918837208964E-2</v>
      </c>
      <c r="D151" s="259">
        <f t="shared" si="15"/>
        <v>5.0697144579437414E-2</v>
      </c>
      <c r="E151" s="259">
        <f t="shared" si="15"/>
        <v>5.0269711807019266E-2</v>
      </c>
      <c r="F151" s="259">
        <f t="shared" si="15"/>
        <v>4.9393554451164667E-2</v>
      </c>
      <c r="G151" s="259">
        <f t="shared" si="15"/>
        <v>4.8516010995069733E-2</v>
      </c>
      <c r="H151" s="259">
        <f t="shared" si="15"/>
        <v>4.7991444695846361E-2</v>
      </c>
      <c r="I151" s="259">
        <f t="shared" si="15"/>
        <v>4.7286780679783577E-2</v>
      </c>
      <c r="J151" s="259">
        <f t="shared" si="15"/>
        <v>4.8121316432551756E-2</v>
      </c>
      <c r="K151" s="259">
        <f t="shared" si="15"/>
        <v>4.8472486310036693E-2</v>
      </c>
      <c r="L151" s="259">
        <f t="shared" si="15"/>
        <v>4.8461318176704682E-2</v>
      </c>
      <c r="M151" s="259">
        <f t="shared" si="15"/>
        <v>4.8622924379160451E-2</v>
      </c>
      <c r="N151" s="259">
        <f t="shared" si="15"/>
        <v>4.8865098983518498E-2</v>
      </c>
      <c r="O151" s="259">
        <f t="shared" si="15"/>
        <v>4.9397460659588333E-2</v>
      </c>
      <c r="P151" s="259">
        <f t="shared" si="15"/>
        <v>4.9097051493358648E-2</v>
      </c>
      <c r="Q151" s="259">
        <f t="shared" si="15"/>
        <v>5.0056758182285166E-2</v>
      </c>
    </row>
    <row r="152" spans="1:17" ht="11.4" customHeight="1">
      <c r="A152" s="260" t="s">
        <v>526</v>
      </c>
      <c r="B152" s="261">
        <f t="shared" si="15"/>
        <v>2.2304499871477981E-4</v>
      </c>
      <c r="C152" s="261">
        <f t="shared" si="15"/>
        <v>2.0783283520167033E-4</v>
      </c>
      <c r="D152" s="261">
        <f t="shared" si="15"/>
        <v>1.9472513666761042E-4</v>
      </c>
      <c r="E152" s="261">
        <f t="shared" si="15"/>
        <v>1.5976490329997305E-4</v>
      </c>
      <c r="F152" s="261">
        <f t="shared" si="15"/>
        <v>1.382349541976297E-4</v>
      </c>
      <c r="G152" s="261">
        <f t="shared" si="15"/>
        <v>1.2106267910540818E-4</v>
      </c>
      <c r="H152" s="261">
        <f t="shared" si="15"/>
        <v>1.0928481431021105E-4</v>
      </c>
      <c r="I152" s="261">
        <f t="shared" si="15"/>
        <v>9.3531526196358238E-5</v>
      </c>
      <c r="J152" s="261">
        <f t="shared" si="15"/>
        <v>8.6291961583910321E-5</v>
      </c>
      <c r="K152" s="261">
        <f t="shared" si="15"/>
        <v>7.7387774803886587E-5</v>
      </c>
      <c r="L152" s="261">
        <f t="shared" si="15"/>
        <v>6.9260034693206272E-5</v>
      </c>
      <c r="M152" s="261">
        <f t="shared" si="15"/>
        <v>6.1884261422519773E-5</v>
      </c>
      <c r="N152" s="261">
        <f t="shared" si="15"/>
        <v>5.6538798822404518E-5</v>
      </c>
      <c r="O152" s="261">
        <f t="shared" si="15"/>
        <v>5.7040272626874326E-5</v>
      </c>
      <c r="P152" s="261">
        <f t="shared" si="15"/>
        <v>4.7955437898566086E-5</v>
      </c>
      <c r="Q152" s="261">
        <f t="shared" si="15"/>
        <v>4.3185440699896119E-5</v>
      </c>
    </row>
    <row r="153" spans="1:17" ht="11.4" customHeight="1">
      <c r="A153" s="260" t="s">
        <v>527</v>
      </c>
      <c r="B153" s="261">
        <f t="shared" ref="B153:Q153" si="16">IF(B36=0,0,B36/B$17)</f>
        <v>5.1791371041505704E-2</v>
      </c>
      <c r="C153" s="261">
        <f t="shared" si="16"/>
        <v>5.0929683855135632E-2</v>
      </c>
      <c r="D153" s="261">
        <f t="shared" si="16"/>
        <v>5.0001585448060583E-2</v>
      </c>
      <c r="E153" s="261">
        <f t="shared" si="16"/>
        <v>4.9439055332428615E-2</v>
      </c>
      <c r="F153" s="261">
        <f t="shared" si="16"/>
        <v>4.8501055232735561E-2</v>
      </c>
      <c r="G153" s="261">
        <f t="shared" si="16"/>
        <v>4.7609802317933193E-2</v>
      </c>
      <c r="H153" s="261">
        <f t="shared" si="16"/>
        <v>4.6919071506758059E-2</v>
      </c>
      <c r="I153" s="261">
        <f t="shared" si="16"/>
        <v>4.6167267123905842E-2</v>
      </c>
      <c r="J153" s="261">
        <f t="shared" si="16"/>
        <v>4.6934211803994992E-2</v>
      </c>
      <c r="K153" s="261">
        <f t="shared" si="16"/>
        <v>4.7116722645615505E-2</v>
      </c>
      <c r="L153" s="261">
        <f t="shared" si="16"/>
        <v>4.6983263739564816E-2</v>
      </c>
      <c r="M153" s="261">
        <f t="shared" si="16"/>
        <v>4.689947038482397E-2</v>
      </c>
      <c r="N153" s="261">
        <f t="shared" si="16"/>
        <v>4.6864667420189306E-2</v>
      </c>
      <c r="O153" s="261">
        <f t="shared" si="16"/>
        <v>4.7273146370600989E-2</v>
      </c>
      <c r="P153" s="261">
        <f t="shared" si="16"/>
        <v>4.6950375463217821E-2</v>
      </c>
      <c r="Q153" s="261">
        <f t="shared" si="16"/>
        <v>4.7132370685919446E-2</v>
      </c>
    </row>
    <row r="154" spans="1:17" ht="11.4" customHeight="1">
      <c r="A154" s="260" t="s">
        <v>528</v>
      </c>
      <c r="B154" s="261">
        <f t="shared" ref="B154:Q155" si="17">IF(B38=0,0,B38/B$17)</f>
        <v>4.6613211435915565E-5</v>
      </c>
      <c r="C154" s="261">
        <f t="shared" si="17"/>
        <v>4.4738088114047625E-5</v>
      </c>
      <c r="D154" s="261">
        <f t="shared" si="17"/>
        <v>4.1926819318433165E-5</v>
      </c>
      <c r="E154" s="261">
        <f t="shared" si="17"/>
        <v>4.0277556745369974E-5</v>
      </c>
      <c r="F154" s="261">
        <f t="shared" si="17"/>
        <v>7.6804582924036954E-5</v>
      </c>
      <c r="G154" s="261">
        <f t="shared" si="17"/>
        <v>7.7540735573581096E-5</v>
      </c>
      <c r="H154" s="261">
        <f t="shared" si="17"/>
        <v>7.3538620610220522E-5</v>
      </c>
      <c r="I154" s="261">
        <f t="shared" si="17"/>
        <v>7.6398288653750068E-5</v>
      </c>
      <c r="J154" s="261">
        <f t="shared" si="17"/>
        <v>7.8927613276417915E-5</v>
      </c>
      <c r="K154" s="261">
        <f t="shared" si="17"/>
        <v>8.4647696430341433E-5</v>
      </c>
      <c r="L154" s="261">
        <f t="shared" si="17"/>
        <v>8.6080014121499572E-5</v>
      </c>
      <c r="M154" s="261">
        <f t="shared" si="17"/>
        <v>8.5315042374653583E-5</v>
      </c>
      <c r="N154" s="261">
        <f t="shared" si="17"/>
        <v>8.4039170399681113E-5</v>
      </c>
      <c r="O154" s="261">
        <f t="shared" si="17"/>
        <v>8.2795316336427643E-5</v>
      </c>
      <c r="P154" s="261">
        <f t="shared" si="17"/>
        <v>7.9897891471268249E-5</v>
      </c>
      <c r="Q154" s="261">
        <f t="shared" si="17"/>
        <v>7.4582577626933845E-5</v>
      </c>
    </row>
    <row r="155" spans="1:17" ht="11.4" customHeight="1">
      <c r="A155" s="260" t="s">
        <v>529</v>
      </c>
      <c r="B155" s="261">
        <f t="shared" si="17"/>
        <v>2.4048875533600137E-4</v>
      </c>
      <c r="C155" s="261">
        <f t="shared" si="17"/>
        <v>3.6826277226297254E-4</v>
      </c>
      <c r="D155" s="261">
        <f t="shared" si="17"/>
        <v>3.7406201947445469E-4</v>
      </c>
      <c r="E155" s="261">
        <f t="shared" si="17"/>
        <v>5.4862740983298568E-4</v>
      </c>
      <c r="F155" s="261">
        <f t="shared" si="17"/>
        <v>5.9670374832580515E-4</v>
      </c>
      <c r="G155" s="261">
        <f t="shared" si="17"/>
        <v>6.1235384956407311E-4</v>
      </c>
      <c r="H155" s="261">
        <f t="shared" si="17"/>
        <v>7.987881171239422E-4</v>
      </c>
      <c r="I155" s="261">
        <f t="shared" si="17"/>
        <v>8.6085560999604261E-4</v>
      </c>
      <c r="J155" s="261">
        <f t="shared" si="17"/>
        <v>9.2955212749858747E-4</v>
      </c>
      <c r="K155" s="261">
        <f t="shared" si="17"/>
        <v>1.0966666413198382E-3</v>
      </c>
      <c r="L155" s="261">
        <f t="shared" si="17"/>
        <v>1.2099050134905646E-3</v>
      </c>
      <c r="M155" s="261">
        <f t="shared" si="17"/>
        <v>1.457950914013731E-3</v>
      </c>
      <c r="N155" s="261">
        <f t="shared" si="17"/>
        <v>1.738058345958001E-3</v>
      </c>
      <c r="O155" s="261">
        <f t="shared" si="17"/>
        <v>1.8202723774742133E-3</v>
      </c>
      <c r="P155" s="261">
        <f t="shared" si="17"/>
        <v>1.8637290871535135E-3</v>
      </c>
      <c r="Q155" s="261">
        <f t="shared" si="17"/>
        <v>2.6366641947276029E-3</v>
      </c>
    </row>
    <row r="156" spans="1:17" ht="11.4" customHeight="1">
      <c r="A156" s="260" t="s">
        <v>533</v>
      </c>
      <c r="B156" s="261">
        <f t="shared" ref="B156:Q159" si="18">IF(B41=0,0,B41/B$17)</f>
        <v>8.3451079970598582E-5</v>
      </c>
      <c r="C156" s="261">
        <f t="shared" si="18"/>
        <v>8.4401286494642755E-5</v>
      </c>
      <c r="D156" s="261">
        <f t="shared" si="18"/>
        <v>8.4845155916333763E-5</v>
      </c>
      <c r="E156" s="261">
        <f t="shared" si="18"/>
        <v>8.1986604712325892E-5</v>
      </c>
      <c r="F156" s="261">
        <f t="shared" si="18"/>
        <v>8.0755932981637607E-5</v>
      </c>
      <c r="G156" s="261">
        <f t="shared" si="18"/>
        <v>9.5251412893477641E-5</v>
      </c>
      <c r="H156" s="261">
        <f t="shared" si="18"/>
        <v>9.0761637043932736E-5</v>
      </c>
      <c r="I156" s="261">
        <f t="shared" si="18"/>
        <v>8.8728131031593326E-5</v>
      </c>
      <c r="J156" s="261">
        <f t="shared" si="18"/>
        <v>9.2332926197848312E-5</v>
      </c>
      <c r="K156" s="261">
        <f t="shared" si="18"/>
        <v>9.7061551867118895E-5</v>
      </c>
      <c r="L156" s="261">
        <f t="shared" si="18"/>
        <v>1.1280937483459463E-4</v>
      </c>
      <c r="M156" s="261">
        <f t="shared" si="18"/>
        <v>1.1830377652557066E-4</v>
      </c>
      <c r="N156" s="261">
        <f t="shared" si="18"/>
        <v>1.2179524814910674E-4</v>
      </c>
      <c r="O156" s="261">
        <f t="shared" si="18"/>
        <v>1.6420632254982896E-4</v>
      </c>
      <c r="P156" s="261">
        <f t="shared" si="18"/>
        <v>1.5509361361748113E-4</v>
      </c>
      <c r="Q156" s="261">
        <f t="shared" si="18"/>
        <v>1.6995528331128663E-4</v>
      </c>
    </row>
    <row r="157" spans="1:17" ht="11.4" customHeight="1">
      <c r="A157" s="227" t="s">
        <v>535</v>
      </c>
      <c r="B157" s="255">
        <f t="shared" si="18"/>
        <v>0.32743899767617057</v>
      </c>
      <c r="C157" s="255">
        <f t="shared" si="18"/>
        <v>0.33115796776039658</v>
      </c>
      <c r="D157" s="255">
        <f t="shared" si="18"/>
        <v>0.33161120578856873</v>
      </c>
      <c r="E157" s="255">
        <f t="shared" si="18"/>
        <v>0.34002479946158859</v>
      </c>
      <c r="F157" s="255">
        <f t="shared" si="18"/>
        <v>0.3467874684580477</v>
      </c>
      <c r="G157" s="255">
        <f t="shared" si="18"/>
        <v>0.35570577766106187</v>
      </c>
      <c r="H157" s="255">
        <f t="shared" si="18"/>
        <v>0.35578454551982314</v>
      </c>
      <c r="I157" s="255">
        <f t="shared" si="18"/>
        <v>0.36361331190900442</v>
      </c>
      <c r="J157" s="255">
        <f t="shared" si="18"/>
        <v>0.36046595169425139</v>
      </c>
      <c r="K157" s="255">
        <f t="shared" si="18"/>
        <v>0.34944159768712052</v>
      </c>
      <c r="L157" s="255">
        <f t="shared" si="18"/>
        <v>0.35949012610779102</v>
      </c>
      <c r="M157" s="255">
        <f t="shared" si="18"/>
        <v>0.35940027574080619</v>
      </c>
      <c r="N157" s="255">
        <f t="shared" si="18"/>
        <v>0.35689799963403845</v>
      </c>
      <c r="O157" s="255">
        <f t="shared" si="18"/>
        <v>0.35498341594970939</v>
      </c>
      <c r="P157" s="255">
        <f t="shared" si="18"/>
        <v>0.3487754729084927</v>
      </c>
      <c r="Q157" s="255">
        <f t="shared" si="18"/>
        <v>0.34972129496106957</v>
      </c>
    </row>
    <row r="158" spans="1:17" ht="11.4" customHeight="1">
      <c r="A158" s="256" t="s">
        <v>536</v>
      </c>
      <c r="B158" s="257">
        <f t="shared" si="18"/>
        <v>0.10694036469648836</v>
      </c>
      <c r="C158" s="257">
        <f t="shared" si="18"/>
        <v>0.10700321198712964</v>
      </c>
      <c r="D158" s="257">
        <f t="shared" si="18"/>
        <v>0.10681564773709713</v>
      </c>
      <c r="E158" s="257">
        <f t="shared" si="18"/>
        <v>0.10938417742146529</v>
      </c>
      <c r="F158" s="257">
        <f t="shared" si="18"/>
        <v>0.10955790415620988</v>
      </c>
      <c r="G158" s="257">
        <f t="shared" si="18"/>
        <v>0.11227264257666818</v>
      </c>
      <c r="H158" s="257">
        <f t="shared" si="18"/>
        <v>0.10989334028411879</v>
      </c>
      <c r="I158" s="257">
        <f t="shared" si="18"/>
        <v>0.11284992186203884</v>
      </c>
      <c r="J158" s="257">
        <f t="shared" si="18"/>
        <v>0.11323570423350994</v>
      </c>
      <c r="K158" s="257">
        <f t="shared" si="18"/>
        <v>0.11421154315920586</v>
      </c>
      <c r="L158" s="257">
        <f t="shared" si="18"/>
        <v>0.11719605746585376</v>
      </c>
      <c r="M158" s="257">
        <f t="shared" si="18"/>
        <v>0.11877453268604429</v>
      </c>
      <c r="N158" s="257">
        <f t="shared" si="18"/>
        <v>0.11805545285118287</v>
      </c>
      <c r="O158" s="257">
        <f t="shared" si="18"/>
        <v>0.11689700750337001</v>
      </c>
      <c r="P158" s="257">
        <f t="shared" si="18"/>
        <v>0.11700352556428173</v>
      </c>
      <c r="Q158" s="257">
        <f t="shared" si="18"/>
        <v>0.11601350828212223</v>
      </c>
    </row>
    <row r="159" spans="1:17" ht="11.4" customHeight="1">
      <c r="A159" s="260" t="s">
        <v>526</v>
      </c>
      <c r="B159" s="261">
        <f t="shared" si="18"/>
        <v>1.6748026841085235E-2</v>
      </c>
      <c r="C159" s="261">
        <f t="shared" si="18"/>
        <v>1.5578601980737246E-2</v>
      </c>
      <c r="D159" s="261">
        <f t="shared" si="18"/>
        <v>1.4318039841543773E-2</v>
      </c>
      <c r="E159" s="261">
        <f t="shared" si="18"/>
        <v>1.3341987716447267E-2</v>
      </c>
      <c r="F159" s="261">
        <f t="shared" si="18"/>
        <v>1.1940770997094088E-2</v>
      </c>
      <c r="G159" s="261">
        <f t="shared" si="18"/>
        <v>1.1092967583428211E-2</v>
      </c>
      <c r="H159" s="261">
        <f t="shared" si="18"/>
        <v>1.0129548982288792E-2</v>
      </c>
      <c r="I159" s="261">
        <f t="shared" si="18"/>
        <v>9.3408018186511305E-3</v>
      </c>
      <c r="J159" s="261">
        <f t="shared" si="18"/>
        <v>8.635777726026644E-3</v>
      </c>
      <c r="K159" s="261">
        <f t="shared" si="18"/>
        <v>8.1545924924719682E-3</v>
      </c>
      <c r="L159" s="261">
        <f t="shared" si="18"/>
        <v>7.5581497508270031E-3</v>
      </c>
      <c r="M159" s="261">
        <f t="shared" si="18"/>
        <v>7.0690914212729076E-3</v>
      </c>
      <c r="N159" s="261">
        <f t="shared" si="18"/>
        <v>6.6896179280343327E-3</v>
      </c>
      <c r="O159" s="261">
        <f t="shared" si="18"/>
        <v>6.4199907664347156E-3</v>
      </c>
      <c r="P159" s="261">
        <f t="shared" si="18"/>
        <v>5.9983134739771959E-3</v>
      </c>
      <c r="Q159" s="261">
        <f t="shared" si="18"/>
        <v>5.7862314851375067E-3</v>
      </c>
    </row>
    <row r="160" spans="1:17" ht="11.4" customHeight="1">
      <c r="A160" s="260" t="s">
        <v>527</v>
      </c>
      <c r="B160" s="261">
        <f t="shared" ref="B160:Q160" si="19">IF(B46=0,0,B46/B$17)</f>
        <v>8.9677388355362375E-2</v>
      </c>
      <c r="C160" s="261">
        <f t="shared" si="19"/>
        <v>9.0763860231631896E-2</v>
      </c>
      <c r="D160" s="261">
        <f t="shared" si="19"/>
        <v>9.1662785529733004E-2</v>
      </c>
      <c r="E160" s="261">
        <f t="shared" si="19"/>
        <v>9.5116831484031369E-2</v>
      </c>
      <c r="F160" s="261">
        <f t="shared" si="19"/>
        <v>9.6655296042171587E-2</v>
      </c>
      <c r="G160" s="261">
        <f t="shared" si="19"/>
        <v>0.10017429278642699</v>
      </c>
      <c r="H160" s="261">
        <f t="shared" si="19"/>
        <v>9.8654377094442983E-2</v>
      </c>
      <c r="I160" s="261">
        <f t="shared" si="19"/>
        <v>0.10238642058084903</v>
      </c>
      <c r="J160" s="261">
        <f t="shared" si="19"/>
        <v>0.10340341880557445</v>
      </c>
      <c r="K160" s="261">
        <f t="shared" si="19"/>
        <v>0.10480853240073323</v>
      </c>
      <c r="L160" s="261">
        <f t="shared" si="19"/>
        <v>0.10828052961582242</v>
      </c>
      <c r="M160" s="261">
        <f t="shared" si="19"/>
        <v>0.11030542660865342</v>
      </c>
      <c r="N160" s="261">
        <f t="shared" si="19"/>
        <v>0.10993584183798127</v>
      </c>
      <c r="O160" s="261">
        <f t="shared" si="19"/>
        <v>0.10902255062713535</v>
      </c>
      <c r="P160" s="261">
        <f t="shared" si="19"/>
        <v>0.1095119466924209</v>
      </c>
      <c r="Q160" s="261">
        <f t="shared" si="19"/>
        <v>0.10873512189367</v>
      </c>
    </row>
    <row r="161" spans="1:17" ht="11.4" customHeight="1">
      <c r="A161" s="260" t="s">
        <v>528</v>
      </c>
      <c r="B161" s="261">
        <f t="shared" ref="B161:Q162" si="20">IF(B48=0,0,B48/B$17)</f>
        <v>4.6921429378174022E-4</v>
      </c>
      <c r="C161" s="261">
        <f t="shared" si="20"/>
        <v>6.0904934224897803E-4</v>
      </c>
      <c r="D161" s="261">
        <f t="shared" si="20"/>
        <v>7.7575288454813189E-4</v>
      </c>
      <c r="E161" s="261">
        <f t="shared" si="20"/>
        <v>8.5756545167482874E-4</v>
      </c>
      <c r="F161" s="261">
        <f t="shared" si="20"/>
        <v>8.8536198351859207E-4</v>
      </c>
      <c r="G161" s="261">
        <f t="shared" si="20"/>
        <v>9.1904724868659181E-4</v>
      </c>
      <c r="H161" s="261">
        <f t="shared" si="20"/>
        <v>9.6926954567765067E-4</v>
      </c>
      <c r="I161" s="261">
        <f t="shared" si="20"/>
        <v>9.6151172377736125E-4</v>
      </c>
      <c r="J161" s="261">
        <f t="shared" si="20"/>
        <v>9.8525755302914962E-4</v>
      </c>
      <c r="K161" s="261">
        <f t="shared" si="20"/>
        <v>9.6372759053677437E-4</v>
      </c>
      <c r="L161" s="261">
        <f t="shared" si="20"/>
        <v>9.8515400769788575E-4</v>
      </c>
      <c r="M161" s="261">
        <f t="shared" si="20"/>
        <v>1.0004167740751285E-3</v>
      </c>
      <c r="N161" s="261">
        <f t="shared" si="20"/>
        <v>1.0136107933308811E-3</v>
      </c>
      <c r="O161" s="261">
        <f t="shared" si="20"/>
        <v>1.0038366427701875E-3</v>
      </c>
      <c r="P161" s="261">
        <f t="shared" si="20"/>
        <v>1.0047879777864829E-3</v>
      </c>
      <c r="Q161" s="261">
        <f t="shared" si="20"/>
        <v>9.7081228205196765E-4</v>
      </c>
    </row>
    <row r="162" spans="1:17" ht="11.4" customHeight="1">
      <c r="A162" s="260" t="s">
        <v>529</v>
      </c>
      <c r="B162" s="261">
        <f t="shared" si="20"/>
        <v>3.7471370074809265E-5</v>
      </c>
      <c r="C162" s="261">
        <f t="shared" si="20"/>
        <v>4.2770695540558626E-5</v>
      </c>
      <c r="D162" s="261">
        <f t="shared" si="20"/>
        <v>4.9906712599003974E-5</v>
      </c>
      <c r="E162" s="261">
        <f t="shared" si="20"/>
        <v>5.8575976118880827E-5</v>
      </c>
      <c r="F162" s="261">
        <f t="shared" si="20"/>
        <v>6.5277172939357989E-5</v>
      </c>
      <c r="G162" s="261">
        <f t="shared" si="20"/>
        <v>7.5372625377748552E-5</v>
      </c>
      <c r="H162" s="261">
        <f t="shared" si="20"/>
        <v>1.2934554340989361E-4</v>
      </c>
      <c r="I162" s="261">
        <f t="shared" si="20"/>
        <v>1.5039737695158082E-4</v>
      </c>
      <c r="J162" s="261">
        <f t="shared" si="20"/>
        <v>2.0104309878210221E-4</v>
      </c>
      <c r="K162" s="261">
        <f t="shared" si="20"/>
        <v>2.7381745158537688E-4</v>
      </c>
      <c r="L162" s="261">
        <f t="shared" si="20"/>
        <v>3.6159939583428835E-4</v>
      </c>
      <c r="M162" s="261">
        <f t="shared" si="20"/>
        <v>3.8702689011176463E-4</v>
      </c>
      <c r="N162" s="261">
        <f t="shared" si="20"/>
        <v>3.9359632498053799E-4</v>
      </c>
      <c r="O162" s="261">
        <f t="shared" si="20"/>
        <v>4.1666719285552128E-4</v>
      </c>
      <c r="P162" s="261">
        <f t="shared" si="20"/>
        <v>4.4152839222205394E-4</v>
      </c>
      <c r="Q162" s="261">
        <f t="shared" si="20"/>
        <v>4.6026556865851791E-4</v>
      </c>
    </row>
    <row r="163" spans="1:17" ht="11.4" customHeight="1">
      <c r="A163" s="260" t="s">
        <v>533</v>
      </c>
      <c r="B163" s="261">
        <f t="shared" ref="B163:Q165" si="21">IF(B51=0,0,B51/B$17)</f>
        <v>8.2638361842001373E-6</v>
      </c>
      <c r="C163" s="261">
        <f t="shared" si="21"/>
        <v>8.9297369709677354E-6</v>
      </c>
      <c r="D163" s="261">
        <f t="shared" si="21"/>
        <v>9.1627686732245585E-6</v>
      </c>
      <c r="E163" s="261">
        <f t="shared" si="21"/>
        <v>9.2167931929537094E-6</v>
      </c>
      <c r="F163" s="261">
        <f t="shared" si="21"/>
        <v>1.1197960486244387E-5</v>
      </c>
      <c r="G163" s="261">
        <f t="shared" si="21"/>
        <v>1.0962332748645394E-5</v>
      </c>
      <c r="H163" s="261">
        <f t="shared" si="21"/>
        <v>1.0799118299438707E-5</v>
      </c>
      <c r="I163" s="261">
        <f t="shared" si="21"/>
        <v>1.0790361809725966E-5</v>
      </c>
      <c r="J163" s="261">
        <f t="shared" si="21"/>
        <v>1.0207050097598652E-5</v>
      </c>
      <c r="K163" s="261">
        <f t="shared" si="21"/>
        <v>1.0873223878506671E-5</v>
      </c>
      <c r="L163" s="261">
        <f t="shared" si="21"/>
        <v>1.0624695672185208E-5</v>
      </c>
      <c r="M163" s="261">
        <f t="shared" si="21"/>
        <v>1.2570991931090949E-5</v>
      </c>
      <c r="N163" s="261">
        <f t="shared" si="21"/>
        <v>2.2785966855856959E-5</v>
      </c>
      <c r="O163" s="261">
        <f t="shared" si="21"/>
        <v>3.3962274174211876E-5</v>
      </c>
      <c r="P163" s="261">
        <f t="shared" si="21"/>
        <v>4.694902787508239E-5</v>
      </c>
      <c r="Q163" s="261">
        <f t="shared" si="21"/>
        <v>6.1077052604250367E-5</v>
      </c>
    </row>
    <row r="164" spans="1:17" ht="11.4" customHeight="1">
      <c r="A164" s="258" t="s">
        <v>544</v>
      </c>
      <c r="B164" s="259">
        <f t="shared" si="21"/>
        <v>0.22049863297968225</v>
      </c>
      <c r="C164" s="259">
        <f t="shared" si="21"/>
        <v>0.22415475577326693</v>
      </c>
      <c r="D164" s="259">
        <f t="shared" si="21"/>
        <v>0.22479555805147161</v>
      </c>
      <c r="E164" s="259">
        <f t="shared" si="21"/>
        <v>0.23064062204012331</v>
      </c>
      <c r="F164" s="259">
        <f t="shared" si="21"/>
        <v>0.23722956430183784</v>
      </c>
      <c r="G164" s="259">
        <f t="shared" si="21"/>
        <v>0.24343313508439371</v>
      </c>
      <c r="H164" s="259">
        <f t="shared" si="21"/>
        <v>0.24589120523570435</v>
      </c>
      <c r="I164" s="259">
        <f t="shared" si="21"/>
        <v>0.25076339004696563</v>
      </c>
      <c r="J164" s="259">
        <f t="shared" si="21"/>
        <v>0.24723024746074146</v>
      </c>
      <c r="K164" s="259">
        <f t="shared" si="21"/>
        <v>0.23523005452791465</v>
      </c>
      <c r="L164" s="259">
        <f t="shared" si="21"/>
        <v>0.2422940686419372</v>
      </c>
      <c r="M164" s="259">
        <f t="shared" si="21"/>
        <v>0.24062574305476189</v>
      </c>
      <c r="N164" s="259">
        <f t="shared" si="21"/>
        <v>0.2388425467828556</v>
      </c>
      <c r="O164" s="259">
        <f t="shared" si="21"/>
        <v>0.23808640844633938</v>
      </c>
      <c r="P164" s="259">
        <f t="shared" si="21"/>
        <v>0.23177194734421097</v>
      </c>
      <c r="Q164" s="259">
        <f t="shared" si="21"/>
        <v>0.23370778667894732</v>
      </c>
    </row>
    <row r="165" spans="1:17" ht="11.4" customHeight="1">
      <c r="A165" s="262" t="s">
        <v>538</v>
      </c>
      <c r="B165" s="263">
        <f t="shared" si="21"/>
        <v>0.16554572397412803</v>
      </c>
      <c r="C165" s="263">
        <f t="shared" si="21"/>
        <v>0.16861417699910877</v>
      </c>
      <c r="D165" s="263">
        <f t="shared" si="21"/>
        <v>0.16784944867828497</v>
      </c>
      <c r="E165" s="263">
        <f t="shared" si="21"/>
        <v>0.17125697976256699</v>
      </c>
      <c r="F165" s="263">
        <f t="shared" si="21"/>
        <v>0.17649178549085345</v>
      </c>
      <c r="G165" s="263">
        <f t="shared" si="21"/>
        <v>0.18107150812056974</v>
      </c>
      <c r="H165" s="263">
        <f t="shared" si="21"/>
        <v>0.18043354288447869</v>
      </c>
      <c r="I165" s="263">
        <f t="shared" si="21"/>
        <v>0.18592963923677458</v>
      </c>
      <c r="J165" s="263">
        <f t="shared" si="21"/>
        <v>0.18334826144657271</v>
      </c>
      <c r="K165" s="263">
        <f t="shared" si="21"/>
        <v>0.17542922692085666</v>
      </c>
      <c r="L165" s="263">
        <f t="shared" si="21"/>
        <v>0.17566860919213023</v>
      </c>
      <c r="M165" s="263">
        <f t="shared" si="21"/>
        <v>0.17433505262239304</v>
      </c>
      <c r="N165" s="263">
        <f t="shared" si="21"/>
        <v>0.1684790481964899</v>
      </c>
      <c r="O165" s="263">
        <f t="shared" si="21"/>
        <v>0.16493722973481778</v>
      </c>
      <c r="P165" s="263">
        <f t="shared" si="21"/>
        <v>0.16398671918809221</v>
      </c>
      <c r="Q165" s="263">
        <f t="shared" si="21"/>
        <v>0.1641130954224157</v>
      </c>
    </row>
    <row r="166" spans="1:17" ht="11.4" customHeight="1">
      <c r="A166" s="264" t="s">
        <v>539</v>
      </c>
      <c r="B166" s="265">
        <f t="shared" ref="B166:Q166" si="22">IF(B55=0,0,B55/B$17)</f>
        <v>5.4952909005554211E-2</v>
      </c>
      <c r="C166" s="265">
        <f t="shared" si="22"/>
        <v>5.5540578774158141E-2</v>
      </c>
      <c r="D166" s="265">
        <f t="shared" si="22"/>
        <v>5.6946109373186657E-2</v>
      </c>
      <c r="E166" s="265">
        <f t="shared" si="22"/>
        <v>5.9383642277556312E-2</v>
      </c>
      <c r="F166" s="265">
        <f t="shared" si="22"/>
        <v>6.0737778810984369E-2</v>
      </c>
      <c r="G166" s="265">
        <f t="shared" si="22"/>
        <v>6.2361626963823996E-2</v>
      </c>
      <c r="H166" s="265">
        <f t="shared" si="22"/>
        <v>6.5457662351225632E-2</v>
      </c>
      <c r="I166" s="265">
        <f t="shared" si="22"/>
        <v>6.4833750810191049E-2</v>
      </c>
      <c r="J166" s="265">
        <f t="shared" si="22"/>
        <v>6.3881986014168751E-2</v>
      </c>
      <c r="K166" s="265">
        <f t="shared" si="22"/>
        <v>5.9800827607058002E-2</v>
      </c>
      <c r="L166" s="265">
        <f t="shared" si="22"/>
        <v>6.6625459449806981E-2</v>
      </c>
      <c r="M166" s="265">
        <f t="shared" si="22"/>
        <v>6.6290690432368862E-2</v>
      </c>
      <c r="N166" s="265">
        <f t="shared" si="22"/>
        <v>7.0363498586365689E-2</v>
      </c>
      <c r="O166" s="265">
        <f t="shared" si="22"/>
        <v>7.3149178711521629E-2</v>
      </c>
      <c r="P166" s="265">
        <f t="shared" si="22"/>
        <v>6.7785228156118746E-2</v>
      </c>
      <c r="Q166" s="265">
        <f t="shared" si="22"/>
        <v>6.9594691256531643E-2</v>
      </c>
    </row>
  </sheetData>
  <pageMargins left="0.39370078740157483" right="0.39370078740157483" top="0.39370078740157483" bottom="0.39370078740157483" header="0.31496062992125984" footer="0.31496062992125984"/>
  <pageSetup paperSize="9" scale="42" orientation="portrait" r:id="rId1"/>
  <headerFooter alignWithMargins="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theme="9" tint="0.39997558519241921"/>
  </sheetPr>
  <dimension ref="A22:B25"/>
  <sheetViews>
    <sheetView topLeftCell="A43" workbookViewId="0">
      <selection activeCell="J47" sqref="J47"/>
    </sheetView>
  </sheetViews>
  <sheetFormatPr defaultRowHeight="14.4"/>
  <cols>
    <col min="2" max="2" width="21.109375" bestFit="1" customWidth="1"/>
  </cols>
  <sheetData>
    <row r="22" spans="1:2">
      <c r="B22" t="s">
        <v>186</v>
      </c>
    </row>
    <row r="23" spans="1:2">
      <c r="B23" s="14" t="s">
        <v>191</v>
      </c>
    </row>
    <row r="24" spans="1:2">
      <c r="A24" s="12">
        <v>1985</v>
      </c>
      <c r="B24" s="21">
        <v>12</v>
      </c>
    </row>
    <row r="25" spans="1:2">
      <c r="A25" s="12">
        <v>2008</v>
      </c>
      <c r="B25" s="21">
        <v>11</v>
      </c>
    </row>
  </sheetData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92D050"/>
  </sheetPr>
  <dimension ref="A1:J115"/>
  <sheetViews>
    <sheetView topLeftCell="A39" zoomScale="85" zoomScaleNormal="85" workbookViewId="0">
      <selection activeCell="C59" sqref="C59"/>
    </sheetView>
  </sheetViews>
  <sheetFormatPr defaultRowHeight="14.4"/>
  <cols>
    <col min="9" max="9" width="10.88671875" customWidth="1"/>
  </cols>
  <sheetData>
    <row r="1" spans="1:10">
      <c r="A1" t="s">
        <v>14</v>
      </c>
    </row>
    <row r="2" spans="1:10">
      <c r="A2" s="5" t="s">
        <v>13</v>
      </c>
    </row>
    <row r="4" spans="1:10">
      <c r="A4" t="s">
        <v>182</v>
      </c>
      <c r="B4">
        <v>0.42514370699999998</v>
      </c>
      <c r="C4" t="s">
        <v>183</v>
      </c>
    </row>
    <row r="8" spans="1:10">
      <c r="A8" s="8" t="s">
        <v>188</v>
      </c>
      <c r="B8" s="8"/>
      <c r="C8" s="8"/>
      <c r="D8" s="8"/>
      <c r="E8" s="8"/>
      <c r="F8" s="8"/>
      <c r="G8" s="8"/>
      <c r="H8" s="8"/>
      <c r="I8" s="8"/>
      <c r="J8" s="8"/>
    </row>
    <row r="9" spans="1:10">
      <c r="B9" s="13" t="s">
        <v>41</v>
      </c>
      <c r="C9" s="13" t="s">
        <v>42</v>
      </c>
      <c r="D9" s="13" t="s">
        <v>43</v>
      </c>
      <c r="E9" s="13" t="s">
        <v>49</v>
      </c>
      <c r="F9" s="13" t="s">
        <v>45</v>
      </c>
      <c r="G9" s="13" t="s">
        <v>44</v>
      </c>
      <c r="H9" s="13" t="s">
        <v>46</v>
      </c>
      <c r="I9" s="13" t="s">
        <v>47</v>
      </c>
      <c r="J9" s="13" t="s">
        <v>48</v>
      </c>
    </row>
    <row r="10" spans="1:10">
      <c r="A10" s="12">
        <v>1999.84</v>
      </c>
      <c r="B10" s="9">
        <f>100/B47</f>
        <v>6.5720755398542945</v>
      </c>
      <c r="C10" s="9">
        <f t="shared" ref="C10:E10" si="0">100/C47</f>
        <v>6.6822324878234429</v>
      </c>
      <c r="D10" s="9">
        <f t="shared" si="0"/>
        <v>7.8066572708723934</v>
      </c>
      <c r="E10" s="9">
        <f t="shared" si="0"/>
        <v>8.4336530502468694</v>
      </c>
      <c r="F10" s="9"/>
      <c r="G10" s="9"/>
      <c r="H10" s="9"/>
      <c r="I10" s="9"/>
      <c r="J10" s="9"/>
    </row>
    <row r="11" spans="1:10">
      <c r="A11" s="12">
        <v>2000.95</v>
      </c>
      <c r="B11" s="9">
        <f t="shared" ref="B11:J23" si="1">100/B48</f>
        <v>6.3830280480701544</v>
      </c>
      <c r="C11" s="9">
        <f t="shared" si="1"/>
        <v>6.6614155641853632</v>
      </c>
      <c r="D11" s="9">
        <f t="shared" si="1"/>
        <v>7.8066572708723934</v>
      </c>
      <c r="E11" s="9">
        <f t="shared" si="1"/>
        <v>8.4700966356278435</v>
      </c>
      <c r="F11" s="9"/>
      <c r="G11" s="9"/>
      <c r="H11" s="9"/>
      <c r="I11" s="9"/>
      <c r="J11" s="9"/>
    </row>
    <row r="12" spans="1:10">
      <c r="A12" s="12">
        <v>2001.9</v>
      </c>
      <c r="B12" s="9">
        <f t="shared" si="1"/>
        <v>6.1285717449553205</v>
      </c>
      <c r="C12" s="9">
        <f t="shared" si="1"/>
        <v>6.4672692760897776</v>
      </c>
      <c r="D12" s="9">
        <f t="shared" si="1"/>
        <v>7.6867510971040911</v>
      </c>
      <c r="E12" s="9">
        <f t="shared" si="1"/>
        <v>8.2242861388596218</v>
      </c>
      <c r="F12" s="9">
        <f t="shared" si="1"/>
        <v>8.1248560819131335</v>
      </c>
      <c r="G12" s="9"/>
      <c r="H12" s="9"/>
      <c r="I12" s="9"/>
      <c r="J12" s="9"/>
    </row>
    <row r="13" spans="1:10">
      <c r="A13" s="12">
        <v>2002.98</v>
      </c>
      <c r="B13" s="9">
        <f t="shared" si="1"/>
        <v>6.1285717449553205</v>
      </c>
      <c r="C13" s="9">
        <f t="shared" si="1"/>
        <v>6.4672692760897776</v>
      </c>
      <c r="D13" s="9">
        <f t="shared" si="1"/>
        <v>7.5704725964398198</v>
      </c>
      <c r="E13" s="9">
        <f t="shared" si="1"/>
        <v>8.1248560819131335</v>
      </c>
      <c r="F13" s="9"/>
      <c r="G13" s="9"/>
      <c r="H13" s="9">
        <f t="shared" si="1"/>
        <v>8.7278138616469452</v>
      </c>
      <c r="I13" s="9"/>
      <c r="J13" s="9"/>
    </row>
    <row r="14" spans="1:10">
      <c r="A14" s="12">
        <v>2003.93</v>
      </c>
      <c r="B14" s="9">
        <f t="shared" si="1"/>
        <v>6.0003720298822749</v>
      </c>
      <c r="C14" s="9">
        <f t="shared" si="1"/>
        <v>6.3229726766501395</v>
      </c>
      <c r="D14" s="9">
        <f t="shared" si="1"/>
        <v>7.4576595932588843</v>
      </c>
      <c r="E14" s="9">
        <f t="shared" si="1"/>
        <v>8.2589390298941439</v>
      </c>
      <c r="F14" s="9"/>
      <c r="G14" s="9"/>
      <c r="H14" s="9">
        <f t="shared" si="1"/>
        <v>8.2242861388596218</v>
      </c>
      <c r="I14" s="9"/>
      <c r="J14" s="9"/>
    </row>
    <row r="15" spans="1:10">
      <c r="A15" s="12">
        <v>2005.02</v>
      </c>
      <c r="B15" s="9">
        <f t="shared" si="1"/>
        <v>6.0187969184080137</v>
      </c>
      <c r="C15" s="9">
        <f t="shared" si="1"/>
        <v>6.3229726766501395</v>
      </c>
      <c r="D15" s="9">
        <f t="shared" si="1"/>
        <v>7.3458645712487565</v>
      </c>
      <c r="E15" s="9">
        <f t="shared" si="1"/>
        <v>8.0250625578773533</v>
      </c>
      <c r="F15" s="9"/>
      <c r="G15" s="9"/>
      <c r="H15" s="9">
        <f t="shared" si="1"/>
        <v>8.1558454775098888</v>
      </c>
      <c r="I15" s="9"/>
      <c r="J15" s="9"/>
    </row>
    <row r="16" spans="1:10">
      <c r="A16" s="12">
        <v>2005.83</v>
      </c>
      <c r="B16" s="9">
        <f t="shared" si="1"/>
        <v>5.8423890603920814</v>
      </c>
      <c r="C16" s="9">
        <f t="shared" si="1"/>
        <v>6.2640368461087945</v>
      </c>
      <c r="D16" s="9">
        <f t="shared" si="1"/>
        <v>7.5124427841387806</v>
      </c>
      <c r="E16" s="9">
        <f t="shared" si="1"/>
        <v>8.1899228263017143</v>
      </c>
      <c r="F16" s="9">
        <f t="shared" si="1"/>
        <v>7.2395993712337701</v>
      </c>
      <c r="G16" s="9"/>
      <c r="H16" s="9">
        <f t="shared" si="1"/>
        <v>8.0913169443200967</v>
      </c>
      <c r="I16" s="9">
        <f t="shared" si="1"/>
        <v>5.9820596025275998</v>
      </c>
      <c r="J16" s="9"/>
    </row>
    <row r="17" spans="1:10">
      <c r="A17" s="12">
        <v>2006.96</v>
      </c>
      <c r="B17" s="9">
        <f t="shared" si="1"/>
        <v>5.7749713619294187</v>
      </c>
      <c r="C17" s="9">
        <f t="shared" si="1"/>
        <v>6.2242546592057471</v>
      </c>
      <c r="D17" s="9">
        <f t="shared" si="1"/>
        <v>7.188709766851626</v>
      </c>
      <c r="E17" s="9">
        <f t="shared" si="1"/>
        <v>7.8378734945479902</v>
      </c>
      <c r="F17" s="9"/>
      <c r="G17" s="9"/>
      <c r="H17" s="9">
        <f t="shared" si="1"/>
        <v>7.8066572708723934</v>
      </c>
      <c r="I17" s="9"/>
      <c r="J17" s="9"/>
    </row>
    <row r="18" spans="1:10">
      <c r="A18" s="12">
        <v>2008</v>
      </c>
      <c r="B18" s="9">
        <f t="shared" si="1"/>
        <v>5.5501317501506655</v>
      </c>
      <c r="C18" s="9">
        <f t="shared" si="1"/>
        <v>6.0187969184080137</v>
      </c>
      <c r="D18" s="9">
        <f t="shared" si="1"/>
        <v>7.1104771333550545</v>
      </c>
      <c r="E18" s="9">
        <f t="shared" si="1"/>
        <v>7.8066572708723934</v>
      </c>
      <c r="F18" s="9">
        <f t="shared" si="1"/>
        <v>7.1104771333550545</v>
      </c>
      <c r="G18" s="9">
        <f t="shared" si="1"/>
        <v>7.0869112254108231</v>
      </c>
      <c r="H18" s="9">
        <f t="shared" si="1"/>
        <v>7.5704725964398198</v>
      </c>
      <c r="I18" s="9"/>
      <c r="J18" s="9"/>
    </row>
    <row r="19" spans="1:10">
      <c r="A19" s="12">
        <v>2009.04</v>
      </c>
      <c r="B19" s="9">
        <f t="shared" si="1"/>
        <v>5.135689597628498</v>
      </c>
      <c r="C19" s="9">
        <f t="shared" si="1"/>
        <v>5.7411418982520184</v>
      </c>
      <c r="D19" s="9">
        <f t="shared" si="1"/>
        <v>6.7726629303594938</v>
      </c>
      <c r="E19" s="9">
        <f t="shared" si="1"/>
        <v>7.4837602154433727</v>
      </c>
      <c r="F19" s="9"/>
      <c r="G19" s="9">
        <f t="shared" si="1"/>
        <v>6.9384832911913046</v>
      </c>
      <c r="H19" s="9">
        <f t="shared" si="1"/>
        <v>7.1104771333550545</v>
      </c>
      <c r="I19" s="9">
        <f t="shared" si="1"/>
        <v>5.5501317501506655</v>
      </c>
      <c r="J19" s="9"/>
    </row>
    <row r="20" spans="1:10">
      <c r="A20" s="12">
        <v>2009.98</v>
      </c>
      <c r="B20" s="9">
        <f t="shared" si="1"/>
        <v>5.0835224458911865</v>
      </c>
      <c r="C20" s="9">
        <f t="shared" si="1"/>
        <v>5.5658917077942549</v>
      </c>
      <c r="D20" s="9">
        <f t="shared" si="1"/>
        <v>6.8197907675089935</v>
      </c>
      <c r="E20" s="9">
        <f t="shared" si="1"/>
        <v>7.2395993712337701</v>
      </c>
      <c r="F20" s="9">
        <f t="shared" si="1"/>
        <v>6.9384832911913046</v>
      </c>
      <c r="G20" s="9">
        <f t="shared" si="1"/>
        <v>6.8197907675089935</v>
      </c>
      <c r="H20" s="9">
        <f t="shared" si="1"/>
        <v>6.7512796662280481</v>
      </c>
      <c r="I20" s="9">
        <f t="shared" si="1"/>
        <v>5.4296995284253278</v>
      </c>
      <c r="J20" s="9"/>
    </row>
    <row r="21" spans="1:10">
      <c r="A21" s="12">
        <v>2011.07</v>
      </c>
      <c r="B21" s="9">
        <f t="shared" si="1"/>
        <v>4.779812712281756</v>
      </c>
      <c r="C21" s="9">
        <f t="shared" si="1"/>
        <v>5.3701959719494345</v>
      </c>
      <c r="D21" s="9">
        <f t="shared" si="1"/>
        <v>6.7512796662280481</v>
      </c>
      <c r="E21" s="9">
        <f t="shared" si="1"/>
        <v>7.3207153305753252</v>
      </c>
      <c r="F21" s="9">
        <f t="shared" si="1"/>
        <v>6.8436015004767308</v>
      </c>
      <c r="G21" s="9">
        <f t="shared" si="1"/>
        <v>6.6164439823174463</v>
      </c>
      <c r="H21" s="9">
        <f t="shared" si="1"/>
        <v>6.4672692760897776</v>
      </c>
      <c r="I21" s="9">
        <f t="shared" si="1"/>
        <v>5.3701959719494345</v>
      </c>
      <c r="J21" s="9"/>
    </row>
    <row r="22" spans="1:10">
      <c r="A22" s="12">
        <v>2012.04</v>
      </c>
      <c r="B22" s="9">
        <f t="shared" si="1"/>
        <v>4.4296531746023584</v>
      </c>
      <c r="C22" s="9">
        <f t="shared" si="1"/>
        <v>5.2573666421856329</v>
      </c>
      <c r="D22" s="9">
        <f t="shared" si="1"/>
        <v>6.6822324878234429</v>
      </c>
      <c r="E22" s="9">
        <f t="shared" si="1"/>
        <v>6.8675790823762108</v>
      </c>
      <c r="F22" s="9">
        <f t="shared" si="1"/>
        <v>6.7512796662280481</v>
      </c>
      <c r="G22" s="9"/>
      <c r="H22" s="9"/>
      <c r="I22" s="9">
        <f t="shared" si="1"/>
        <v>5.3997838285441961</v>
      </c>
      <c r="J22" s="9">
        <f t="shared" si="1"/>
        <v>6.5084278796730821</v>
      </c>
    </row>
    <row r="23" spans="1:10">
      <c r="A23" s="12">
        <v>2013.04</v>
      </c>
      <c r="B23" s="9"/>
      <c r="C23" s="9">
        <f t="shared" si="1"/>
        <v>5.0703725710580985</v>
      </c>
      <c r="D23" s="9"/>
      <c r="E23" s="9">
        <f t="shared" si="1"/>
        <v>6.7726629303594938</v>
      </c>
      <c r="F23" s="9">
        <f t="shared" si="1"/>
        <v>6.6822324878234429</v>
      </c>
      <c r="G23" s="9"/>
      <c r="H23" s="9"/>
      <c r="I23" s="9"/>
      <c r="J23" s="9"/>
    </row>
    <row r="24" spans="1:10">
      <c r="A24" s="12"/>
    </row>
    <row r="25" spans="1:10">
      <c r="A25" s="12"/>
    </row>
    <row r="26" spans="1:10">
      <c r="A26" s="8" t="s">
        <v>187</v>
      </c>
      <c r="B26" s="8"/>
      <c r="C26" s="8"/>
      <c r="D26" s="8"/>
      <c r="E26" s="8"/>
      <c r="F26" s="8"/>
      <c r="G26" s="8"/>
      <c r="H26" s="8"/>
      <c r="I26" s="8"/>
    </row>
    <row r="27" spans="1:10">
      <c r="A27" s="10"/>
      <c r="B27" s="13" t="s">
        <v>41</v>
      </c>
      <c r="C27" s="13" t="s">
        <v>42</v>
      </c>
      <c r="D27" s="13" t="s">
        <v>43</v>
      </c>
      <c r="E27" s="13" t="s">
        <v>49</v>
      </c>
      <c r="F27" s="13" t="s">
        <v>45</v>
      </c>
      <c r="G27" s="13" t="s">
        <v>44</v>
      </c>
    </row>
    <row r="28" spans="1:10">
      <c r="A28" s="12">
        <v>1999.979</v>
      </c>
      <c r="B28" s="9"/>
      <c r="C28" s="9"/>
      <c r="D28" s="9">
        <f t="shared" ref="D28:E28" si="2">100/D65</f>
        <v>11.056954053090076</v>
      </c>
      <c r="E28" s="9">
        <f t="shared" si="2"/>
        <v>11.401579426630402</v>
      </c>
      <c r="F28" s="9"/>
      <c r="G28" s="9"/>
      <c r="H28" s="9"/>
      <c r="I28" s="9"/>
      <c r="J28" s="9"/>
    </row>
    <row r="29" spans="1:10">
      <c r="A29" s="12">
        <v>2000.93</v>
      </c>
      <c r="B29" s="9"/>
      <c r="C29" s="9"/>
      <c r="D29" s="9">
        <f t="shared" ref="D29:E29" si="3">100/D66</f>
        <v>11.098692189467522</v>
      </c>
      <c r="E29" s="9">
        <f t="shared" si="3"/>
        <v>11.674918527392922</v>
      </c>
      <c r="F29" s="9"/>
      <c r="G29" s="9"/>
      <c r="H29" s="9"/>
      <c r="I29" s="9"/>
      <c r="J29" s="9"/>
    </row>
    <row r="30" spans="1:10">
      <c r="A30" s="12">
        <v>2002.028</v>
      </c>
      <c r="B30" s="9"/>
      <c r="C30" s="9"/>
      <c r="D30" s="9">
        <f t="shared" ref="D30:E30" si="4">100/D67</f>
        <v>11.015012811247786</v>
      </c>
      <c r="E30" s="9">
        <f t="shared" si="4"/>
        <v>11.58236082191182</v>
      </c>
      <c r="F30" s="9"/>
      <c r="G30" s="9"/>
      <c r="H30" s="9"/>
      <c r="I30" s="9"/>
      <c r="J30" s="9"/>
    </row>
    <row r="31" spans="1:10">
      <c r="A31" s="12">
        <v>2003.0419999999999</v>
      </c>
      <c r="B31" s="9"/>
      <c r="C31" s="9"/>
      <c r="D31" s="9">
        <f t="shared" ref="D31:E31" si="5">100/D68</f>
        <v>10.851383261274462</v>
      </c>
      <c r="E31" s="9">
        <f t="shared" si="5"/>
        <v>11.357536628265823</v>
      </c>
      <c r="F31" s="9"/>
      <c r="G31" s="9"/>
      <c r="H31" s="9"/>
      <c r="I31" s="9"/>
      <c r="J31" s="9"/>
    </row>
    <row r="32" spans="1:10">
      <c r="A32" s="12">
        <v>2004.056</v>
      </c>
      <c r="B32" s="9">
        <f t="shared" ref="B32:E32" si="6">100/B69</f>
        <v>6.0111061480037105</v>
      </c>
      <c r="C32" s="9"/>
      <c r="D32" s="9">
        <f t="shared" si="6"/>
        <v>10.771871385390421</v>
      </c>
      <c r="E32" s="9">
        <f t="shared" si="6"/>
        <v>11.58236082191182</v>
      </c>
      <c r="F32" s="9"/>
      <c r="G32" s="9"/>
      <c r="H32" s="9"/>
      <c r="I32" s="9"/>
      <c r="J32" s="9"/>
    </row>
    <row r="33" spans="1:10">
      <c r="A33" s="12">
        <v>2004.9860000000001</v>
      </c>
      <c r="B33" s="9"/>
      <c r="C33" s="9"/>
      <c r="D33" s="9">
        <f t="shared" ref="D33:E33" si="7">100/D70</f>
        <v>10.501119852287387</v>
      </c>
      <c r="E33" s="9">
        <f t="shared" si="7"/>
        <v>11.226354695083295</v>
      </c>
      <c r="F33" s="9"/>
      <c r="G33" s="9"/>
      <c r="H33" s="9"/>
      <c r="I33" s="9"/>
      <c r="J33" s="9"/>
    </row>
    <row r="34" spans="1:10">
      <c r="A34" s="12">
        <v>2006</v>
      </c>
      <c r="B34" s="9"/>
      <c r="C34" s="9"/>
      <c r="D34" s="9">
        <f t="shared" ref="D34:E34" si="8">100/D71</f>
        <v>10.501119852287387</v>
      </c>
      <c r="E34" s="9">
        <f t="shared" si="8"/>
        <v>11.226354695083295</v>
      </c>
      <c r="F34" s="9"/>
      <c r="G34" s="9"/>
      <c r="H34" s="9"/>
      <c r="I34" s="9"/>
      <c r="J34" s="9"/>
    </row>
    <row r="35" spans="1:10">
      <c r="A35" s="12">
        <v>2007.0139999999999</v>
      </c>
      <c r="B35" s="9"/>
      <c r="C35" s="9"/>
      <c r="D35" s="9">
        <f t="shared" ref="D35:E35" si="9">100/D72</f>
        <v>10.066962703675806</v>
      </c>
      <c r="E35" s="9">
        <f t="shared" si="9"/>
        <v>11.015012811247786</v>
      </c>
      <c r="F35" s="9"/>
      <c r="G35" s="9"/>
      <c r="H35" s="9"/>
      <c r="I35" s="9"/>
      <c r="J35" s="9"/>
    </row>
    <row r="36" spans="1:10">
      <c r="A36" s="12">
        <v>2008.028</v>
      </c>
      <c r="B36" s="9"/>
      <c r="C36" s="9"/>
      <c r="D36" s="9">
        <f t="shared" ref="D36:G36" si="10">100/D73</f>
        <v>9.510536291904625</v>
      </c>
      <c r="E36" s="9">
        <f t="shared" si="10"/>
        <v>10.615334577641718</v>
      </c>
      <c r="F36" s="9"/>
      <c r="G36" s="9">
        <f t="shared" si="10"/>
        <v>10.315524233461328</v>
      </c>
      <c r="H36" s="9"/>
      <c r="I36" s="9"/>
      <c r="J36" s="9"/>
    </row>
    <row r="37" spans="1:10">
      <c r="A37" s="12">
        <v>2008.9580000000001</v>
      </c>
      <c r="B37" s="9"/>
      <c r="C37" s="9">
        <f t="shared" ref="C37:G37" si="11">100/C74</f>
        <v>7.1415649614824268</v>
      </c>
      <c r="D37" s="9">
        <f t="shared" si="11"/>
        <v>9.0963950642503359</v>
      </c>
      <c r="E37" s="9">
        <f t="shared" si="11"/>
        <v>10.136811910506172</v>
      </c>
      <c r="F37" s="9"/>
      <c r="G37" s="9">
        <f t="shared" si="11"/>
        <v>10.426178349795444</v>
      </c>
      <c r="H37" s="9"/>
      <c r="I37" s="9"/>
      <c r="J37" s="9"/>
    </row>
    <row r="38" spans="1:10">
      <c r="A38" s="12">
        <v>2010.0350000000001</v>
      </c>
      <c r="B38" s="9"/>
      <c r="C38" s="9">
        <f t="shared" ref="C38:G38" si="12">100/C75</f>
        <v>6.9548960251740155</v>
      </c>
      <c r="D38" s="9">
        <f t="shared" si="12"/>
        <v>8.4890495009161686</v>
      </c>
      <c r="E38" s="9">
        <f t="shared" si="12"/>
        <v>10.101983489580192</v>
      </c>
      <c r="F38" s="9">
        <f t="shared" si="12"/>
        <v>7.8089898599443979</v>
      </c>
      <c r="G38" s="9">
        <f t="shared" si="12"/>
        <v>10.066962703675806</v>
      </c>
      <c r="H38" s="9"/>
      <c r="I38" s="9"/>
      <c r="J38" s="9"/>
    </row>
    <row r="39" spans="1:10">
      <c r="A39" s="12">
        <v>2011.0350000000001</v>
      </c>
      <c r="B39" s="9"/>
      <c r="C39" s="9">
        <f t="shared" ref="C39:G39" si="13">100/C76</f>
        <v>6.9382786222053978</v>
      </c>
      <c r="D39" s="9"/>
      <c r="E39" s="9">
        <f t="shared" si="13"/>
        <v>9.863487380860704</v>
      </c>
      <c r="F39" s="9">
        <f t="shared" si="13"/>
        <v>7.8722374768695467</v>
      </c>
      <c r="G39" s="9">
        <f t="shared" si="13"/>
        <v>9.6359927722812468</v>
      </c>
      <c r="H39" s="9"/>
      <c r="I39" s="9"/>
      <c r="J39" s="9"/>
    </row>
    <row r="40" spans="1:10">
      <c r="A40" s="12">
        <v>2012.0350000000001</v>
      </c>
      <c r="B40" s="9"/>
      <c r="C40" s="9">
        <f t="shared" ref="C40:F40" si="14">100/C77</f>
        <v>6.872997211564889</v>
      </c>
      <c r="D40" s="9"/>
      <c r="E40" s="9">
        <f t="shared" si="14"/>
        <v>9.8300979426356232</v>
      </c>
      <c r="F40" s="9">
        <f t="shared" si="14"/>
        <v>7.6859975679307642</v>
      </c>
      <c r="G40" s="9"/>
      <c r="H40" s="9"/>
      <c r="I40" s="9"/>
      <c r="J40" s="9"/>
    </row>
    <row r="41" spans="1:10">
      <c r="A41" s="12">
        <v>2013.0350000000001</v>
      </c>
      <c r="B41" s="9"/>
      <c r="C41" s="9"/>
      <c r="D41" s="9"/>
      <c r="E41" s="9">
        <f t="shared" ref="E41" si="15">100/E78</f>
        <v>9.5728535090710665</v>
      </c>
      <c r="F41" s="9"/>
      <c r="G41" s="9"/>
      <c r="H41" s="9"/>
      <c r="I41" s="9"/>
      <c r="J41" s="9"/>
    </row>
    <row r="42" spans="1:10">
      <c r="A42" s="12"/>
    </row>
    <row r="43" spans="1:10" s="20" customFormat="1">
      <c r="A43" s="19"/>
    </row>
    <row r="45" spans="1:10" ht="16.5" customHeight="1">
      <c r="A45" s="8" t="s">
        <v>184</v>
      </c>
      <c r="B45" s="8"/>
      <c r="C45" s="8"/>
      <c r="D45" s="8"/>
      <c r="E45" s="8"/>
      <c r="F45" s="8"/>
      <c r="G45" s="8"/>
      <c r="H45" s="8"/>
      <c r="I45" s="8"/>
      <c r="J45" s="8"/>
    </row>
    <row r="46" spans="1:10">
      <c r="B46" s="13" t="s">
        <v>41</v>
      </c>
      <c r="C46" s="13" t="s">
        <v>42</v>
      </c>
      <c r="D46" s="13" t="s">
        <v>43</v>
      </c>
      <c r="E46" s="13" t="s">
        <v>49</v>
      </c>
      <c r="F46" s="13" t="s">
        <v>45</v>
      </c>
      <c r="G46" s="13" t="s">
        <v>44</v>
      </c>
      <c r="H46" s="13" t="s">
        <v>46</v>
      </c>
      <c r="I46" s="13" t="s">
        <v>47</v>
      </c>
      <c r="J46" s="13" t="s">
        <v>48</v>
      </c>
    </row>
    <row r="47" spans="1:10">
      <c r="A47" s="12">
        <v>1999.84</v>
      </c>
      <c r="B47" s="9">
        <f t="shared" ref="B47:E59" si="16">B83*$B$4</f>
        <v>15.21589327353</v>
      </c>
      <c r="C47" s="9">
        <f t="shared" si="16"/>
        <v>14.9650584864</v>
      </c>
      <c r="D47" s="9">
        <f t="shared" si="16"/>
        <v>12.809579891909999</v>
      </c>
      <c r="E47" s="9">
        <f t="shared" si="16"/>
        <v>11.85725798823</v>
      </c>
      <c r="F47" s="9"/>
      <c r="G47" s="9"/>
      <c r="H47" s="9"/>
      <c r="I47" s="9"/>
      <c r="J47" s="9"/>
    </row>
    <row r="48" spans="1:10">
      <c r="A48" s="12">
        <v>2000.95</v>
      </c>
      <c r="B48" s="9">
        <f t="shared" si="16"/>
        <v>15.66654560295</v>
      </c>
      <c r="C48" s="9">
        <f t="shared" si="16"/>
        <v>15.011824294170001</v>
      </c>
      <c r="D48" s="9">
        <f t="shared" si="16"/>
        <v>12.809579891909999</v>
      </c>
      <c r="E48" s="9">
        <f t="shared" si="16"/>
        <v>11.806240743389999</v>
      </c>
      <c r="F48" s="9"/>
      <c r="G48" s="9"/>
      <c r="H48" s="9"/>
      <c r="I48" s="9"/>
      <c r="J48" s="9"/>
    </row>
    <row r="49" spans="1:10">
      <c r="A49" s="12">
        <v>2001.9</v>
      </c>
      <c r="B49" s="9">
        <f t="shared" si="16"/>
        <v>16.31701547466</v>
      </c>
      <c r="C49" s="9">
        <f t="shared" si="16"/>
        <v>15.462476623589998</v>
      </c>
      <c r="D49" s="9">
        <f t="shared" si="16"/>
        <v>13.0093974342</v>
      </c>
      <c r="E49" s="9">
        <f t="shared" si="16"/>
        <v>12.1591100202</v>
      </c>
      <c r="F49" s="9">
        <f>F85*$B$4</f>
        <v>12.307910317649998</v>
      </c>
      <c r="G49" s="9"/>
      <c r="H49" s="9"/>
      <c r="I49" s="9"/>
      <c r="J49" s="9"/>
    </row>
    <row r="50" spans="1:10">
      <c r="A50" s="12">
        <v>2002.98</v>
      </c>
      <c r="B50" s="9">
        <f t="shared" si="16"/>
        <v>16.31701547466</v>
      </c>
      <c r="C50" s="9">
        <f t="shared" si="16"/>
        <v>15.462476623589998</v>
      </c>
      <c r="D50" s="9">
        <f t="shared" si="16"/>
        <v>13.209214976489999</v>
      </c>
      <c r="E50" s="9">
        <f t="shared" si="16"/>
        <v>12.307910317649998</v>
      </c>
      <c r="F50" s="9"/>
      <c r="G50" s="9"/>
      <c r="H50" s="9">
        <f t="shared" ref="H50:H58" si="17">H86*$B$4</f>
        <v>11.45762290365</v>
      </c>
      <c r="I50" s="9"/>
      <c r="J50" s="9"/>
    </row>
    <row r="51" spans="1:10">
      <c r="A51" s="12">
        <v>2003.93</v>
      </c>
      <c r="B51" s="9">
        <f t="shared" si="16"/>
        <v>16.665633314400001</v>
      </c>
      <c r="C51" s="9">
        <f t="shared" si="16"/>
        <v>15.815345900400001</v>
      </c>
      <c r="D51" s="9">
        <f t="shared" si="16"/>
        <v>13.409032518779998</v>
      </c>
      <c r="E51" s="9">
        <f t="shared" si="16"/>
        <v>12.108092775359999</v>
      </c>
      <c r="F51" s="9"/>
      <c r="G51" s="9"/>
      <c r="H51" s="9">
        <f t="shared" si="17"/>
        <v>12.1591100202</v>
      </c>
      <c r="I51" s="9"/>
      <c r="J51" s="9"/>
    </row>
    <row r="52" spans="1:10">
      <c r="A52" s="12">
        <v>2005.02</v>
      </c>
      <c r="B52" s="9">
        <f t="shared" si="16"/>
        <v>16.61461606956</v>
      </c>
      <c r="C52" s="9">
        <f t="shared" si="16"/>
        <v>15.815345900400001</v>
      </c>
      <c r="D52" s="9">
        <f t="shared" si="16"/>
        <v>13.613101498140001</v>
      </c>
      <c r="E52" s="9">
        <f t="shared" si="16"/>
        <v>12.460962052169998</v>
      </c>
      <c r="F52" s="9"/>
      <c r="G52" s="9"/>
      <c r="H52" s="9">
        <f t="shared" si="17"/>
        <v>12.261144509879999</v>
      </c>
      <c r="I52" s="9"/>
      <c r="J52" s="9"/>
    </row>
    <row r="53" spans="1:10">
      <c r="A53" s="12">
        <v>2005.83</v>
      </c>
      <c r="B53" s="9">
        <f t="shared" si="16"/>
        <v>17.11628564382</v>
      </c>
      <c r="C53" s="9">
        <f t="shared" si="16"/>
        <v>15.964146197849997</v>
      </c>
      <c r="D53" s="9">
        <f t="shared" si="16"/>
        <v>13.311249466169999</v>
      </c>
      <c r="E53" s="9">
        <f t="shared" si="16"/>
        <v>12.210127265039999</v>
      </c>
      <c r="F53" s="9">
        <f>F89*$B$4</f>
        <v>13.81291904043</v>
      </c>
      <c r="G53" s="9"/>
      <c r="H53" s="9">
        <f t="shared" si="17"/>
        <v>12.358927562489999</v>
      </c>
      <c r="I53" s="9">
        <f>I89*$B$4</f>
        <v>16.716650559239998</v>
      </c>
      <c r="J53" s="9"/>
    </row>
    <row r="54" spans="1:10">
      <c r="A54" s="12">
        <v>2006.96</v>
      </c>
      <c r="B54" s="9">
        <f t="shared" si="16"/>
        <v>17.316103186109999</v>
      </c>
      <c r="C54" s="9">
        <f t="shared" si="16"/>
        <v>16.06618068753</v>
      </c>
      <c r="D54" s="9">
        <f t="shared" si="16"/>
        <v>13.910702093039999</v>
      </c>
      <c r="E54" s="9">
        <f t="shared" si="16"/>
        <v>12.758562647070001</v>
      </c>
      <c r="F54" s="9"/>
      <c r="G54" s="9"/>
      <c r="H54" s="9">
        <f t="shared" si="17"/>
        <v>12.809579891909999</v>
      </c>
      <c r="I54" s="9"/>
      <c r="J54" s="9"/>
    </row>
    <row r="55" spans="1:10">
      <c r="A55" s="12">
        <v>2008</v>
      </c>
      <c r="B55" s="9">
        <f t="shared" si="16"/>
        <v>18.01759030266</v>
      </c>
      <c r="C55" s="9">
        <f t="shared" si="16"/>
        <v>16.61461606956</v>
      </c>
      <c r="D55" s="9">
        <f t="shared" si="16"/>
        <v>14.063753827559999</v>
      </c>
      <c r="E55" s="9">
        <f t="shared" si="16"/>
        <v>12.809579891909999</v>
      </c>
      <c r="F55" s="9">
        <f>F91*$B$4</f>
        <v>14.063753827559999</v>
      </c>
      <c r="G55" s="9">
        <f>G91*$B$4</f>
        <v>14.110519635329998</v>
      </c>
      <c r="H55" s="9">
        <f t="shared" si="17"/>
        <v>13.209214976489999</v>
      </c>
      <c r="I55" s="9"/>
      <c r="J55" s="9"/>
    </row>
    <row r="56" spans="1:10">
      <c r="A56" s="12">
        <v>2009.04</v>
      </c>
      <c r="B56" s="9">
        <f t="shared" si="16"/>
        <v>19.471581780599998</v>
      </c>
      <c r="C56" s="9">
        <f t="shared" si="16"/>
        <v>17.41813767579</v>
      </c>
      <c r="D56" s="9">
        <f t="shared" si="16"/>
        <v>14.765240944109998</v>
      </c>
      <c r="E56" s="9">
        <f t="shared" si="16"/>
        <v>13.362266711009999</v>
      </c>
      <c r="F56" s="9"/>
      <c r="G56" s="9">
        <f>G92*$B$4</f>
        <v>14.412371667299999</v>
      </c>
      <c r="H56" s="9">
        <f t="shared" si="17"/>
        <v>14.063753827559999</v>
      </c>
      <c r="I56" s="9">
        <f>I92*$B$4</f>
        <v>18.01759030266</v>
      </c>
      <c r="J56" s="9"/>
    </row>
    <row r="57" spans="1:10">
      <c r="A57" s="12">
        <v>2009.98</v>
      </c>
      <c r="B57" s="9">
        <f t="shared" si="16"/>
        <v>19.67139932289</v>
      </c>
      <c r="C57" s="9">
        <f t="shared" si="16"/>
        <v>17.96657305782</v>
      </c>
      <c r="D57" s="9">
        <f t="shared" si="16"/>
        <v>14.66320645443</v>
      </c>
      <c r="E57" s="9">
        <f t="shared" si="16"/>
        <v>13.81291904043</v>
      </c>
      <c r="F57" s="9">
        <f>F93*$B$4</f>
        <v>14.412371667299999</v>
      </c>
      <c r="G57" s="9">
        <f>G93*$B$4</f>
        <v>14.66320645443</v>
      </c>
      <c r="H57" s="9">
        <f t="shared" si="17"/>
        <v>14.81200675188</v>
      </c>
      <c r="I57" s="9">
        <f>I93*$B$4</f>
        <v>18.417225387239998</v>
      </c>
      <c r="J57" s="9"/>
    </row>
    <row r="58" spans="1:10">
      <c r="A58" s="12">
        <v>2011.07</v>
      </c>
      <c r="B58" s="9">
        <f t="shared" si="16"/>
        <v>20.921321821469999</v>
      </c>
      <c r="C58" s="9">
        <f t="shared" si="16"/>
        <v>18.621294366599997</v>
      </c>
      <c r="D58" s="9">
        <f t="shared" si="16"/>
        <v>14.81200675188</v>
      </c>
      <c r="E58" s="9">
        <f t="shared" si="16"/>
        <v>13.65986730591</v>
      </c>
      <c r="F58" s="9">
        <f>F94*$B$4</f>
        <v>14.612189209589998</v>
      </c>
      <c r="G58" s="9">
        <f>G94*$B$4</f>
        <v>15.113858783849999</v>
      </c>
      <c r="H58" s="9">
        <f t="shared" si="17"/>
        <v>15.462476623589998</v>
      </c>
      <c r="I58" s="9">
        <f>I94*$B$4</f>
        <v>18.621294366599997</v>
      </c>
      <c r="J58" s="9"/>
    </row>
    <row r="59" spans="1:10">
      <c r="A59" s="12">
        <v>2012.04</v>
      </c>
      <c r="B59" s="9">
        <f t="shared" si="16"/>
        <v>22.575130841699998</v>
      </c>
      <c r="C59" s="9">
        <f t="shared" si="16"/>
        <v>19.020929451179999</v>
      </c>
      <c r="D59" s="9">
        <f t="shared" si="16"/>
        <v>14.9650584864</v>
      </c>
      <c r="E59" s="9">
        <f t="shared" si="16"/>
        <v>14.561171964749999</v>
      </c>
      <c r="F59" s="9">
        <f>F95*$B$4</f>
        <v>14.81200675188</v>
      </c>
      <c r="G59" s="9"/>
      <c r="H59" s="9"/>
      <c r="I59" s="9">
        <f>I95*$B$4</f>
        <v>18.51925987692</v>
      </c>
      <c r="J59" s="9">
        <f>J95*$B$4</f>
        <v>15.36469357098</v>
      </c>
    </row>
    <row r="60" spans="1:10">
      <c r="A60" s="12">
        <v>2013.04</v>
      </c>
      <c r="B60" s="9"/>
      <c r="C60" s="9">
        <f>C96*$B$4</f>
        <v>19.722416567730001</v>
      </c>
      <c r="D60" s="9"/>
      <c r="E60" s="9">
        <f>E96*$B$4</f>
        <v>14.765240944109998</v>
      </c>
      <c r="F60" s="9">
        <f>F96*$B$4</f>
        <v>14.9650584864</v>
      </c>
      <c r="G60" s="9"/>
      <c r="H60" s="9"/>
      <c r="I60" s="9"/>
      <c r="J60" s="9"/>
    </row>
    <row r="61" spans="1:10">
      <c r="A61" s="12"/>
    </row>
    <row r="62" spans="1:10">
      <c r="A62" s="12"/>
    </row>
    <row r="63" spans="1:10">
      <c r="A63" s="8" t="s">
        <v>185</v>
      </c>
      <c r="B63" s="8"/>
      <c r="C63" s="8"/>
      <c r="D63" s="8"/>
      <c r="E63" s="8"/>
      <c r="F63" s="8"/>
      <c r="G63" s="8"/>
      <c r="H63" s="8"/>
      <c r="I63" s="8"/>
    </row>
    <row r="64" spans="1:10">
      <c r="A64" s="10"/>
      <c r="B64" s="13" t="s">
        <v>41</v>
      </c>
      <c r="C64" s="13" t="s">
        <v>42</v>
      </c>
      <c r="D64" s="13" t="s">
        <v>43</v>
      </c>
      <c r="E64" s="13" t="s">
        <v>49</v>
      </c>
      <c r="F64" s="13" t="s">
        <v>45</v>
      </c>
      <c r="G64" s="13" t="s">
        <v>44</v>
      </c>
    </row>
    <row r="65" spans="1:10">
      <c r="A65" s="12">
        <v>1999.979</v>
      </c>
      <c r="C65" s="9"/>
      <c r="D65" s="9">
        <f t="shared" ref="D65:F75" si="18">D102*$B$4</f>
        <v>9.0440820790109999</v>
      </c>
      <c r="E65" s="9">
        <f t="shared" si="18"/>
        <v>8.7707146754099998</v>
      </c>
      <c r="F65" s="9"/>
      <c r="G65" s="9"/>
    </row>
    <row r="66" spans="1:10">
      <c r="A66" s="12">
        <v>2000.93</v>
      </c>
      <c r="C66" s="9"/>
      <c r="D66" s="9">
        <f t="shared" si="18"/>
        <v>9.0100705824510001</v>
      </c>
      <c r="E66" s="9">
        <f t="shared" si="18"/>
        <v>8.5653702649289993</v>
      </c>
      <c r="F66" s="9"/>
      <c r="G66" s="9"/>
    </row>
    <row r="67" spans="1:10">
      <c r="A67" s="12">
        <v>2002.028</v>
      </c>
      <c r="C67" s="9"/>
      <c r="D67" s="9">
        <f t="shared" si="18"/>
        <v>9.0785187192779997</v>
      </c>
      <c r="E67" s="9">
        <f t="shared" si="18"/>
        <v>8.6338184017559989</v>
      </c>
      <c r="F67" s="9"/>
      <c r="G67" s="9"/>
    </row>
    <row r="68" spans="1:10">
      <c r="A68" s="12">
        <v>2003.0419999999999</v>
      </c>
      <c r="C68" s="9"/>
      <c r="D68" s="9">
        <f t="shared" si="18"/>
        <v>9.2154149929319988</v>
      </c>
      <c r="E68" s="9">
        <f t="shared" si="18"/>
        <v>8.8047261719699996</v>
      </c>
      <c r="F68" s="9"/>
      <c r="G68" s="9"/>
    </row>
    <row r="69" spans="1:10">
      <c r="A69" s="12">
        <v>2004.056</v>
      </c>
      <c r="B69" s="9">
        <f>B106*$B$4</f>
        <v>16.635873254909999</v>
      </c>
      <c r="C69" s="9"/>
      <c r="D69" s="9">
        <f t="shared" si="18"/>
        <v>9.2834379860519984</v>
      </c>
      <c r="E69" s="9">
        <f t="shared" si="18"/>
        <v>8.6338184017559989</v>
      </c>
      <c r="F69" s="9"/>
      <c r="G69" s="9"/>
    </row>
    <row r="70" spans="1:10">
      <c r="A70" s="12">
        <v>2004.9860000000001</v>
      </c>
      <c r="C70" s="9"/>
      <c r="D70" s="9">
        <f t="shared" si="18"/>
        <v>9.5227938930930005</v>
      </c>
      <c r="E70" s="9">
        <f t="shared" si="18"/>
        <v>8.9076109490640007</v>
      </c>
      <c r="F70" s="9"/>
      <c r="G70" s="9"/>
    </row>
    <row r="71" spans="1:10">
      <c r="A71" s="12">
        <v>2006</v>
      </c>
      <c r="B71" s="12"/>
      <c r="C71" s="9"/>
      <c r="D71" s="9">
        <f t="shared" si="18"/>
        <v>9.5227938930930005</v>
      </c>
      <c r="E71" s="9">
        <f t="shared" si="18"/>
        <v>8.9076109490640007</v>
      </c>
      <c r="F71" s="9"/>
      <c r="G71" s="9"/>
    </row>
    <row r="72" spans="1:10">
      <c r="A72" s="12">
        <v>2007.0139999999999</v>
      </c>
      <c r="B72" s="12"/>
      <c r="C72" s="9"/>
      <c r="D72" s="9">
        <f t="shared" si="18"/>
        <v>9.9334827140549997</v>
      </c>
      <c r="E72" s="9">
        <f t="shared" si="18"/>
        <v>9.0785187192779997</v>
      </c>
      <c r="F72" s="9"/>
      <c r="G72" s="9"/>
    </row>
    <row r="73" spans="1:10">
      <c r="A73" s="12">
        <v>2008.028</v>
      </c>
      <c r="B73" s="12"/>
      <c r="C73" s="9"/>
      <c r="D73" s="9">
        <f t="shared" si="18"/>
        <v>10.514654161524</v>
      </c>
      <c r="E73" s="9">
        <f t="shared" si="18"/>
        <v>9.4203342597059994</v>
      </c>
      <c r="F73" s="9"/>
      <c r="G73" s="9">
        <f t="shared" ref="G73:G76" si="19">G110*$B$4</f>
        <v>9.6941268070139994</v>
      </c>
    </row>
    <row r="74" spans="1:10">
      <c r="A74" s="12">
        <v>2008.9580000000001</v>
      </c>
      <c r="B74" s="12"/>
      <c r="C74" s="9">
        <f t="shared" ref="C74:C77" si="20">C111*$B$4</f>
        <v>14.002533133751999</v>
      </c>
      <c r="D74" s="9">
        <f t="shared" si="18"/>
        <v>10.993365975606</v>
      </c>
      <c r="E74" s="9">
        <f t="shared" si="18"/>
        <v>9.8650345772280001</v>
      </c>
      <c r="F74" s="9"/>
      <c r="G74" s="9">
        <f t="shared" si="19"/>
        <v>9.5912420299199983</v>
      </c>
    </row>
    <row r="75" spans="1:10">
      <c r="A75" s="12">
        <v>2010.0350000000001</v>
      </c>
      <c r="B75" s="12"/>
      <c r="C75" s="9">
        <f t="shared" si="20"/>
        <v>14.378360170739999</v>
      </c>
      <c r="D75" s="9">
        <f t="shared" si="18"/>
        <v>11.779881833555999</v>
      </c>
      <c r="E75" s="9">
        <f t="shared" si="18"/>
        <v>9.8990460737879999</v>
      </c>
      <c r="F75" s="9">
        <f t="shared" si="18"/>
        <v>12.805753598547</v>
      </c>
      <c r="G75" s="9">
        <f t="shared" si="19"/>
        <v>9.9334827140549997</v>
      </c>
    </row>
    <row r="76" spans="1:10">
      <c r="A76" s="12">
        <v>2011.0350000000001</v>
      </c>
      <c r="B76" s="12"/>
      <c r="C76" s="9">
        <f t="shared" si="20"/>
        <v>14.412796811007</v>
      </c>
      <c r="D76" s="9"/>
      <c r="E76" s="9">
        <f t="shared" ref="E76:F78" si="21">E113*$B$4</f>
        <v>10.138401980829</v>
      </c>
      <c r="F76" s="9">
        <f t="shared" si="21"/>
        <v>12.702868821453</v>
      </c>
      <c r="G76" s="9">
        <f t="shared" si="19"/>
        <v>10.377757887869999</v>
      </c>
    </row>
    <row r="77" spans="1:10">
      <c r="A77" s="12">
        <v>2012.0350000000001</v>
      </c>
      <c r="B77" s="12"/>
      <c r="C77" s="9">
        <f t="shared" si="20"/>
        <v>14.549693084661</v>
      </c>
      <c r="D77" s="9"/>
      <c r="E77" s="9">
        <f t="shared" si="21"/>
        <v>10.172838621096</v>
      </c>
      <c r="F77" s="9">
        <f t="shared" si="21"/>
        <v>13.010672865321</v>
      </c>
    </row>
    <row r="78" spans="1:10">
      <c r="A78" s="12">
        <v>2013.0350000000001</v>
      </c>
      <c r="B78" s="12"/>
      <c r="C78" s="12"/>
      <c r="D78" s="9"/>
      <c r="E78" s="9">
        <f t="shared" si="21"/>
        <v>10.446206024697</v>
      </c>
      <c r="F78" s="9"/>
      <c r="G78" s="9"/>
    </row>
    <row r="79" spans="1:10">
      <c r="A79" s="12"/>
    </row>
    <row r="80" spans="1:10">
      <c r="A80" s="19"/>
      <c r="B80" s="20"/>
      <c r="C80" s="20"/>
      <c r="D80" s="20"/>
      <c r="E80" s="20"/>
      <c r="F80" s="20"/>
      <c r="G80" s="20"/>
      <c r="H80" s="20"/>
      <c r="I80" s="20"/>
      <c r="J80" s="20"/>
    </row>
    <row r="81" spans="1:10">
      <c r="A81" s="12"/>
    </row>
    <row r="82" spans="1:10">
      <c r="B82" s="13" t="s">
        <v>41</v>
      </c>
      <c r="C82" s="13" t="s">
        <v>42</v>
      </c>
      <c r="D82" s="13" t="s">
        <v>43</v>
      </c>
      <c r="E82" s="13" t="s">
        <v>49</v>
      </c>
      <c r="F82" s="13" t="s">
        <v>45</v>
      </c>
      <c r="G82" s="13" t="s">
        <v>44</v>
      </c>
      <c r="H82" s="13" t="s">
        <v>46</v>
      </c>
      <c r="I82" s="13" t="s">
        <v>47</v>
      </c>
      <c r="J82" s="13" t="s">
        <v>48</v>
      </c>
    </row>
    <row r="83" spans="1:10">
      <c r="A83" s="12">
        <v>1999.84</v>
      </c>
      <c r="B83">
        <v>35.79</v>
      </c>
      <c r="C83">
        <v>35.200000000000003</v>
      </c>
      <c r="D83">
        <v>30.13</v>
      </c>
      <c r="E83">
        <v>27.89</v>
      </c>
    </row>
    <row r="84" spans="1:10">
      <c r="A84" s="12">
        <v>2000.95</v>
      </c>
      <c r="B84">
        <v>36.85</v>
      </c>
      <c r="C84">
        <v>35.31</v>
      </c>
      <c r="D84">
        <v>30.13</v>
      </c>
      <c r="E84">
        <v>27.77</v>
      </c>
    </row>
    <row r="85" spans="1:10">
      <c r="A85" s="12">
        <v>2001.9</v>
      </c>
      <c r="B85">
        <v>38.380000000000003</v>
      </c>
      <c r="C85">
        <v>36.369999999999997</v>
      </c>
      <c r="D85">
        <v>30.6</v>
      </c>
      <c r="E85">
        <v>28.6</v>
      </c>
      <c r="F85">
        <v>28.95</v>
      </c>
    </row>
    <row r="86" spans="1:10">
      <c r="A86" s="12">
        <v>2002.98</v>
      </c>
      <c r="B86">
        <v>38.380000000000003</v>
      </c>
      <c r="C86">
        <v>36.369999999999997</v>
      </c>
      <c r="D86">
        <v>31.07</v>
      </c>
      <c r="E86">
        <v>28.95</v>
      </c>
      <c r="H86">
        <v>26.95</v>
      </c>
    </row>
    <row r="87" spans="1:10">
      <c r="A87" s="12">
        <v>2003.93</v>
      </c>
      <c r="B87">
        <v>39.200000000000003</v>
      </c>
      <c r="C87">
        <v>37.200000000000003</v>
      </c>
      <c r="D87">
        <v>31.54</v>
      </c>
      <c r="E87">
        <v>28.48</v>
      </c>
      <c r="H87">
        <v>28.6</v>
      </c>
    </row>
    <row r="88" spans="1:10">
      <c r="A88" s="12">
        <v>2005.02</v>
      </c>
      <c r="B88">
        <v>39.08</v>
      </c>
      <c r="C88">
        <v>37.200000000000003</v>
      </c>
      <c r="D88">
        <v>32.020000000000003</v>
      </c>
      <c r="E88">
        <v>29.31</v>
      </c>
      <c r="H88">
        <v>28.84</v>
      </c>
    </row>
    <row r="89" spans="1:10">
      <c r="A89" s="12">
        <v>2005.83</v>
      </c>
      <c r="B89">
        <v>40.26</v>
      </c>
      <c r="C89">
        <v>37.549999999999997</v>
      </c>
      <c r="D89">
        <v>31.31</v>
      </c>
      <c r="E89">
        <v>28.72</v>
      </c>
      <c r="F89">
        <v>32.49</v>
      </c>
      <c r="H89">
        <v>29.07</v>
      </c>
      <c r="I89">
        <v>39.32</v>
      </c>
    </row>
    <row r="90" spans="1:10">
      <c r="A90" s="12">
        <v>2006.96</v>
      </c>
      <c r="B90">
        <v>40.729999999999997</v>
      </c>
      <c r="C90">
        <v>37.79</v>
      </c>
      <c r="D90">
        <v>32.72</v>
      </c>
      <c r="E90">
        <v>30.01</v>
      </c>
      <c r="H90">
        <v>30.13</v>
      </c>
    </row>
    <row r="91" spans="1:10">
      <c r="A91" s="12">
        <v>2008</v>
      </c>
      <c r="B91">
        <v>42.38</v>
      </c>
      <c r="C91">
        <v>39.08</v>
      </c>
      <c r="D91">
        <v>33.08</v>
      </c>
      <c r="E91">
        <v>30.13</v>
      </c>
      <c r="F91">
        <v>33.08</v>
      </c>
      <c r="G91">
        <v>33.19</v>
      </c>
      <c r="H91">
        <v>31.07</v>
      </c>
    </row>
    <row r="92" spans="1:10">
      <c r="A92" s="12">
        <v>2009.04</v>
      </c>
      <c r="B92">
        <v>45.8</v>
      </c>
      <c r="C92">
        <v>40.97</v>
      </c>
      <c r="D92">
        <v>34.729999999999997</v>
      </c>
      <c r="E92">
        <v>31.43</v>
      </c>
      <c r="G92">
        <v>33.9</v>
      </c>
      <c r="H92">
        <v>33.08</v>
      </c>
      <c r="I92">
        <v>42.38</v>
      </c>
    </row>
    <row r="93" spans="1:10">
      <c r="A93" s="12">
        <v>2009.98</v>
      </c>
      <c r="B93">
        <v>46.27</v>
      </c>
      <c r="C93">
        <v>42.26</v>
      </c>
      <c r="D93">
        <v>34.49</v>
      </c>
      <c r="E93">
        <v>32.49</v>
      </c>
      <c r="F93">
        <v>33.9</v>
      </c>
      <c r="G93">
        <v>34.49</v>
      </c>
      <c r="H93">
        <v>34.840000000000003</v>
      </c>
      <c r="I93">
        <v>43.32</v>
      </c>
    </row>
    <row r="94" spans="1:10">
      <c r="A94" s="12">
        <v>2011.07</v>
      </c>
      <c r="B94">
        <v>49.21</v>
      </c>
      <c r="C94">
        <v>43.8</v>
      </c>
      <c r="D94">
        <v>34.840000000000003</v>
      </c>
      <c r="E94">
        <v>32.130000000000003</v>
      </c>
      <c r="F94">
        <v>34.369999999999997</v>
      </c>
      <c r="G94">
        <v>35.549999999999997</v>
      </c>
      <c r="H94">
        <v>36.369999999999997</v>
      </c>
      <c r="I94">
        <v>43.8</v>
      </c>
    </row>
    <row r="95" spans="1:10">
      <c r="A95" s="12">
        <v>2012.04</v>
      </c>
      <c r="B95">
        <v>53.1</v>
      </c>
      <c r="C95">
        <v>44.74</v>
      </c>
      <c r="D95">
        <v>35.200000000000003</v>
      </c>
      <c r="E95">
        <v>34.25</v>
      </c>
      <c r="F95">
        <v>34.840000000000003</v>
      </c>
      <c r="I95">
        <v>43.56</v>
      </c>
      <c r="J95">
        <v>36.14</v>
      </c>
    </row>
    <row r="96" spans="1:10">
      <c r="A96" s="12">
        <v>2013.04</v>
      </c>
      <c r="C96">
        <v>46.39</v>
      </c>
      <c r="E96">
        <v>34.729999999999997</v>
      </c>
      <c r="F96">
        <v>35.200000000000003</v>
      </c>
    </row>
    <row r="98" spans="1:9">
      <c r="B98" s="10"/>
    </row>
    <row r="99" spans="1:9">
      <c r="B99" s="10"/>
    </row>
    <row r="100" spans="1:9">
      <c r="A100" s="8" t="s">
        <v>50</v>
      </c>
      <c r="B100" s="8"/>
      <c r="C100" s="8"/>
      <c r="D100" s="8"/>
      <c r="E100" s="8"/>
      <c r="F100" s="8"/>
      <c r="G100" s="8"/>
      <c r="H100" s="8"/>
      <c r="I100" s="8"/>
    </row>
    <row r="101" spans="1:9">
      <c r="A101" s="10"/>
      <c r="B101" s="13" t="s">
        <v>41</v>
      </c>
      <c r="C101" s="13" t="s">
        <v>42</v>
      </c>
      <c r="D101" s="13" t="s">
        <v>43</v>
      </c>
      <c r="E101" s="13" t="s">
        <v>49</v>
      </c>
      <c r="F101" s="13" t="s">
        <v>45</v>
      </c>
      <c r="G101" s="13" t="s">
        <v>44</v>
      </c>
    </row>
    <row r="102" spans="1:9">
      <c r="A102" s="12">
        <v>1999.979</v>
      </c>
      <c r="C102" s="9"/>
      <c r="D102" s="9">
        <v>21.273</v>
      </c>
      <c r="E102" s="9">
        <v>20.63</v>
      </c>
      <c r="F102" s="9"/>
      <c r="G102" s="9"/>
    </row>
    <row r="103" spans="1:9">
      <c r="A103" s="12">
        <v>2000.93</v>
      </c>
      <c r="C103" s="9"/>
      <c r="D103" s="9">
        <v>21.193000000000001</v>
      </c>
      <c r="E103" s="9">
        <v>20.146999999999998</v>
      </c>
      <c r="F103" s="9"/>
      <c r="G103" s="9"/>
    </row>
    <row r="104" spans="1:9">
      <c r="A104" s="12">
        <v>2002.028</v>
      </c>
      <c r="C104" s="9"/>
      <c r="D104" s="9">
        <v>21.353999999999999</v>
      </c>
      <c r="E104" s="9">
        <v>20.308</v>
      </c>
      <c r="F104" s="9"/>
      <c r="G104" s="9"/>
    </row>
    <row r="105" spans="1:9">
      <c r="A105" s="12">
        <v>2003.0419999999999</v>
      </c>
      <c r="C105" s="9"/>
      <c r="D105" s="9">
        <v>21.675999999999998</v>
      </c>
      <c r="E105" s="9">
        <v>20.71</v>
      </c>
      <c r="F105" s="9"/>
      <c r="G105" s="9"/>
    </row>
    <row r="106" spans="1:9">
      <c r="A106" s="12">
        <v>2004.056</v>
      </c>
      <c r="B106">
        <v>39.130000000000003</v>
      </c>
      <c r="C106" s="9"/>
      <c r="D106" s="9">
        <v>21.835999999999999</v>
      </c>
      <c r="E106" s="9">
        <v>20.308</v>
      </c>
      <c r="F106" s="9"/>
      <c r="G106" s="9"/>
    </row>
    <row r="107" spans="1:9">
      <c r="A107" s="12">
        <v>2004.9860000000001</v>
      </c>
      <c r="C107" s="9"/>
      <c r="D107" s="9">
        <v>22.399000000000001</v>
      </c>
      <c r="E107" s="9">
        <v>20.952000000000002</v>
      </c>
      <c r="F107" s="9"/>
      <c r="G107" s="9"/>
    </row>
    <row r="108" spans="1:9">
      <c r="A108" s="12">
        <v>2006</v>
      </c>
      <c r="B108" s="12"/>
      <c r="C108" s="9"/>
      <c r="D108" s="9">
        <v>22.399000000000001</v>
      </c>
      <c r="E108" s="9">
        <v>20.952000000000002</v>
      </c>
      <c r="F108" s="9"/>
      <c r="G108" s="9"/>
    </row>
    <row r="109" spans="1:9">
      <c r="A109" s="12">
        <v>2007.0139999999999</v>
      </c>
      <c r="B109" s="12"/>
      <c r="C109" s="9"/>
      <c r="D109" s="9">
        <v>23.364999999999998</v>
      </c>
      <c r="E109" s="9">
        <v>21.353999999999999</v>
      </c>
      <c r="F109" s="9"/>
      <c r="G109" s="9"/>
    </row>
    <row r="110" spans="1:9">
      <c r="A110" s="12">
        <v>2008.028</v>
      </c>
      <c r="B110" s="12"/>
      <c r="C110" s="9"/>
      <c r="D110" s="9">
        <v>24.731999999999999</v>
      </c>
      <c r="E110" s="9">
        <v>22.158000000000001</v>
      </c>
      <c r="F110" s="9"/>
      <c r="G110" s="9">
        <v>22.802</v>
      </c>
    </row>
    <row r="111" spans="1:9">
      <c r="A111" s="12">
        <v>2008.9580000000001</v>
      </c>
      <c r="B111" s="12"/>
      <c r="C111" s="9">
        <v>32.936</v>
      </c>
      <c r="D111" s="9">
        <v>25.858000000000001</v>
      </c>
      <c r="E111" s="9">
        <v>23.204000000000001</v>
      </c>
      <c r="F111" s="9"/>
      <c r="G111" s="9">
        <v>22.56</v>
      </c>
    </row>
    <row r="112" spans="1:9">
      <c r="A112" s="12">
        <v>2010.0350000000001</v>
      </c>
      <c r="B112" s="12"/>
      <c r="C112" s="9">
        <v>33.82</v>
      </c>
      <c r="D112" s="9">
        <v>27.707999999999998</v>
      </c>
      <c r="E112" s="9">
        <v>23.283999999999999</v>
      </c>
      <c r="F112" s="9">
        <v>30.120999999999999</v>
      </c>
      <c r="G112" s="9">
        <v>23.364999999999998</v>
      </c>
    </row>
    <row r="113" spans="1:7">
      <c r="A113" s="12">
        <v>2011.0350000000001</v>
      </c>
      <c r="B113" s="12"/>
      <c r="C113" s="9">
        <v>33.901000000000003</v>
      </c>
      <c r="D113" s="9"/>
      <c r="E113" s="9">
        <v>23.847000000000001</v>
      </c>
      <c r="F113" s="9">
        <v>29.879000000000001</v>
      </c>
      <c r="G113" s="9">
        <v>24.41</v>
      </c>
    </row>
    <row r="114" spans="1:7">
      <c r="A114" s="12">
        <v>2012.0350000000001</v>
      </c>
      <c r="B114" s="12"/>
      <c r="C114" s="9">
        <v>34.222999999999999</v>
      </c>
      <c r="D114" s="9"/>
      <c r="E114" s="9">
        <v>23.928000000000001</v>
      </c>
      <c r="F114" s="9">
        <v>30.603000000000002</v>
      </c>
    </row>
    <row r="115" spans="1:7">
      <c r="A115" s="12">
        <v>2013.0350000000001</v>
      </c>
      <c r="B115" s="12"/>
      <c r="C115" s="12"/>
      <c r="D115" s="9"/>
      <c r="E115" s="9">
        <v>24.571000000000002</v>
      </c>
      <c r="F115" s="9"/>
      <c r="G115" s="9"/>
    </row>
  </sheetData>
  <hyperlinks>
    <hyperlink ref="A2" r:id="rId1" location="page=61" display="https://aitd.net.in/pdf/AsianJournals/27-Fuel Efficiency of Road Transport.pdf - page=61" xr:uid="{00000000-0004-0000-0E00-000000000000}"/>
  </hyperlinks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92D050"/>
  </sheetPr>
  <dimension ref="A1:I51"/>
  <sheetViews>
    <sheetView topLeftCell="A16" workbookViewId="0">
      <selection activeCell="C35" sqref="C35"/>
    </sheetView>
  </sheetViews>
  <sheetFormatPr defaultRowHeight="14.4"/>
  <sheetData>
    <row r="1" spans="1:1">
      <c r="A1" t="s">
        <v>35</v>
      </c>
    </row>
    <row r="2" spans="1:1">
      <c r="A2" s="5" t="s">
        <v>33</v>
      </c>
    </row>
    <row r="21" spans="1:9">
      <c r="C21" s="8" t="s">
        <v>74</v>
      </c>
      <c r="D21" s="8"/>
      <c r="E21" s="8"/>
      <c r="F21" s="8"/>
      <c r="G21" s="8"/>
    </row>
    <row r="22" spans="1:9">
      <c r="B22" s="11" t="s">
        <v>69</v>
      </c>
      <c r="C22" s="11" t="s">
        <v>49</v>
      </c>
      <c r="D22" s="11" t="s">
        <v>43</v>
      </c>
      <c r="E22" s="11" t="s">
        <v>44</v>
      </c>
      <c r="F22" s="11" t="s">
        <v>45</v>
      </c>
      <c r="G22" s="11" t="s">
        <v>42</v>
      </c>
      <c r="H22" s="11" t="s">
        <v>41</v>
      </c>
      <c r="I22" s="11" t="s">
        <v>72</v>
      </c>
    </row>
    <row r="23" spans="1:9">
      <c r="A23" s="12">
        <v>2000.28</v>
      </c>
      <c r="C23">
        <v>11.66</v>
      </c>
      <c r="D23">
        <v>11.66</v>
      </c>
    </row>
    <row r="24" spans="1:9">
      <c r="A24" s="12">
        <v>2001.2</v>
      </c>
      <c r="C24">
        <v>11.92</v>
      </c>
      <c r="D24">
        <v>11.58</v>
      </c>
    </row>
    <row r="25" spans="1:9">
      <c r="A25" s="12">
        <v>2002.22</v>
      </c>
      <c r="C25">
        <v>11.62</v>
      </c>
      <c r="D25">
        <v>11.62</v>
      </c>
    </row>
    <row r="26" spans="1:9">
      <c r="A26" s="12">
        <v>2003.29</v>
      </c>
      <c r="C26">
        <v>11.39</v>
      </c>
      <c r="D26">
        <v>11.28</v>
      </c>
    </row>
    <row r="27" spans="1:9">
      <c r="A27" s="12">
        <v>2004.11</v>
      </c>
      <c r="C27">
        <v>11.51</v>
      </c>
      <c r="D27">
        <v>11.24</v>
      </c>
      <c r="H27">
        <v>7.14</v>
      </c>
    </row>
    <row r="28" spans="1:9">
      <c r="A28" s="12">
        <v>2005.19</v>
      </c>
      <c r="C28">
        <v>11.16</v>
      </c>
      <c r="D28">
        <v>11.01</v>
      </c>
    </row>
    <row r="29" spans="1:9">
      <c r="A29" s="12">
        <v>2006.14</v>
      </c>
      <c r="B29">
        <v>10.78</v>
      </c>
      <c r="C29">
        <v>11.05</v>
      </c>
      <c r="D29">
        <v>11.01</v>
      </c>
    </row>
    <row r="30" spans="1:9">
      <c r="A30" s="12">
        <v>2006.96</v>
      </c>
      <c r="B30">
        <v>11.01</v>
      </c>
      <c r="C30">
        <v>10.63</v>
      </c>
      <c r="D30">
        <v>10.59</v>
      </c>
    </row>
    <row r="31" spans="1:9">
      <c r="A31" s="12">
        <v>2008.04</v>
      </c>
      <c r="B31">
        <v>10.06</v>
      </c>
      <c r="C31">
        <v>10.48</v>
      </c>
      <c r="D31">
        <v>9.8699999999999992</v>
      </c>
      <c r="E31">
        <v>10.97</v>
      </c>
    </row>
    <row r="32" spans="1:9">
      <c r="A32" s="12">
        <v>2008.92</v>
      </c>
      <c r="B32">
        <v>10.18</v>
      </c>
      <c r="C32">
        <v>9.9499999999999993</v>
      </c>
      <c r="D32">
        <v>9.49</v>
      </c>
      <c r="E32">
        <v>10.78</v>
      </c>
      <c r="G32">
        <v>7.71</v>
      </c>
    </row>
    <row r="33" spans="1:9">
      <c r="A33" s="12">
        <v>2009.94</v>
      </c>
      <c r="B33">
        <v>9.99</v>
      </c>
      <c r="C33">
        <v>9.7200000000000006</v>
      </c>
      <c r="D33">
        <v>8.89</v>
      </c>
      <c r="E33">
        <v>10.48</v>
      </c>
      <c r="F33">
        <v>8.5399999999999991</v>
      </c>
      <c r="G33">
        <v>7.48</v>
      </c>
    </row>
    <row r="34" spans="1:9">
      <c r="A34" s="12">
        <v>2010.82</v>
      </c>
      <c r="B34">
        <v>9.91</v>
      </c>
      <c r="C34">
        <v>9.99</v>
      </c>
      <c r="E34">
        <v>10.06</v>
      </c>
      <c r="F34">
        <v>8.58</v>
      </c>
      <c r="G34">
        <v>7.52</v>
      </c>
    </row>
    <row r="35" spans="1:9">
      <c r="A35" s="12">
        <v>2011.96</v>
      </c>
      <c r="B35">
        <v>9.19</v>
      </c>
      <c r="C35">
        <v>9.84</v>
      </c>
      <c r="E35">
        <v>9.76</v>
      </c>
      <c r="F35">
        <v>8.43</v>
      </c>
      <c r="G35">
        <v>7.37</v>
      </c>
      <c r="H35">
        <v>6.84</v>
      </c>
      <c r="I35">
        <v>10.48</v>
      </c>
    </row>
    <row r="36" spans="1:9">
      <c r="A36" s="12">
        <v>2012.97</v>
      </c>
      <c r="B36">
        <v>8.43</v>
      </c>
      <c r="C36">
        <v>9.68</v>
      </c>
      <c r="E36">
        <v>9.42</v>
      </c>
      <c r="G36">
        <v>7.22</v>
      </c>
    </row>
    <row r="37" spans="1:9">
      <c r="A37" s="12">
        <v>2013.83</v>
      </c>
      <c r="B37">
        <v>8.77</v>
      </c>
      <c r="C37">
        <v>9.27</v>
      </c>
      <c r="E37">
        <v>9.11</v>
      </c>
      <c r="G37">
        <v>7.06</v>
      </c>
    </row>
    <row r="38" spans="1:9">
      <c r="A38" s="12">
        <v>2014.83</v>
      </c>
      <c r="G38">
        <v>7.06</v>
      </c>
    </row>
    <row r="41" spans="1:9">
      <c r="A41" s="10"/>
    </row>
    <row r="42" spans="1:9">
      <c r="A42" s="10"/>
    </row>
    <row r="43" spans="1:9">
      <c r="A43" s="10"/>
    </row>
    <row r="44" spans="1:9">
      <c r="A44" s="10"/>
    </row>
    <row r="45" spans="1:9">
      <c r="A45" s="10"/>
    </row>
    <row r="46" spans="1:9">
      <c r="A46" s="10"/>
    </row>
    <row r="47" spans="1:9">
      <c r="A47" s="10"/>
    </row>
    <row r="48" spans="1:9">
      <c r="A48" s="10"/>
    </row>
    <row r="49" spans="1:1">
      <c r="A49" s="10"/>
    </row>
    <row r="50" spans="1:1">
      <c r="A50" s="10"/>
    </row>
    <row r="51" spans="1:1">
      <c r="A51" s="10"/>
    </row>
  </sheetData>
  <hyperlinks>
    <hyperlink ref="A2" r:id="rId1" xr:uid="{00000000-0004-0000-0F00-000000000000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92D050"/>
  </sheetPr>
  <dimension ref="A1:J77"/>
  <sheetViews>
    <sheetView topLeftCell="A4" workbookViewId="0">
      <selection activeCell="B8" sqref="B8"/>
    </sheetView>
  </sheetViews>
  <sheetFormatPr defaultRowHeight="14.4"/>
  <cols>
    <col min="5" max="5" width="9.109375" style="22"/>
  </cols>
  <sheetData>
    <row r="1" spans="1:10">
      <c r="A1" t="s">
        <v>125</v>
      </c>
    </row>
    <row r="2" spans="1:10">
      <c r="A2" t="s">
        <v>124</v>
      </c>
    </row>
    <row r="4" spans="1:10">
      <c r="A4" t="s">
        <v>182</v>
      </c>
      <c r="B4">
        <v>0.42514370699999998</v>
      </c>
      <c r="C4" t="s">
        <v>183</v>
      </c>
    </row>
    <row r="5" spans="1:10">
      <c r="A5" t="s">
        <v>182</v>
      </c>
      <c r="B5">
        <f>100/B4</f>
        <v>235.21458357138519</v>
      </c>
      <c r="C5" t="s">
        <v>86</v>
      </c>
    </row>
    <row r="6" spans="1:10">
      <c r="A6" s="8" t="s">
        <v>189</v>
      </c>
      <c r="B6" s="8"/>
      <c r="C6" s="8"/>
      <c r="D6" s="8"/>
      <c r="F6" s="8" t="s">
        <v>190</v>
      </c>
      <c r="G6" s="8"/>
      <c r="H6" s="8"/>
      <c r="I6" s="8"/>
      <c r="J6" s="8"/>
    </row>
    <row r="8" spans="1:10">
      <c r="A8" s="14">
        <v>1975</v>
      </c>
      <c r="B8" s="9">
        <f>$B$5/B45</f>
        <v>14.76551058200786</v>
      </c>
      <c r="F8" s="14">
        <v>1975</v>
      </c>
      <c r="G8" s="9">
        <f>$B$5/G45</f>
        <v>16.837121229161429</v>
      </c>
    </row>
    <row r="9" spans="1:10">
      <c r="A9" s="14">
        <v>1976</v>
      </c>
      <c r="B9" s="9">
        <f t="shared" ref="B9:B40" si="0">$B$5/B46</f>
        <v>13.341723401666773</v>
      </c>
      <c r="F9" s="14">
        <v>1976</v>
      </c>
      <c r="G9" s="9">
        <f t="shared" ref="G9:G40" si="1">$B$5/G46</f>
        <v>16.221695418716219</v>
      </c>
    </row>
    <row r="10" spans="1:10">
      <c r="A10" s="14">
        <v>1977</v>
      </c>
      <c r="B10" s="9">
        <f t="shared" si="0"/>
        <v>12.504762550312876</v>
      </c>
      <c r="F10" s="14">
        <v>1977</v>
      </c>
      <c r="G10" s="9">
        <f t="shared" si="1"/>
        <v>14.76551058200786</v>
      </c>
    </row>
    <row r="11" spans="1:10">
      <c r="A11" s="14">
        <v>1978</v>
      </c>
      <c r="B11" s="9">
        <f t="shared" si="0"/>
        <v>11.621273891866858</v>
      </c>
      <c r="F11" s="14">
        <v>1978</v>
      </c>
      <c r="G11" s="9">
        <f t="shared" si="1"/>
        <v>15.660092115271985</v>
      </c>
    </row>
    <row r="12" spans="1:10">
      <c r="A12" s="14">
        <v>1979</v>
      </c>
      <c r="B12" s="9">
        <f t="shared" si="0"/>
        <v>11.547107686371389</v>
      </c>
      <c r="F12" s="14">
        <v>1979</v>
      </c>
      <c r="G12" s="9">
        <f t="shared" si="1"/>
        <v>15.796815552141382</v>
      </c>
    </row>
    <row r="13" spans="1:10">
      <c r="A13" s="14">
        <v>1980</v>
      </c>
      <c r="B13" s="9">
        <f t="shared" si="0"/>
        <v>9.895438938636314</v>
      </c>
      <c r="F13" s="14">
        <v>1980</v>
      </c>
      <c r="G13" s="9">
        <f t="shared" si="1"/>
        <v>12.418932606725722</v>
      </c>
    </row>
    <row r="14" spans="1:10">
      <c r="A14" s="14">
        <v>1981</v>
      </c>
      <c r="B14" s="9">
        <f t="shared" si="0"/>
        <v>9.3302095823635529</v>
      </c>
      <c r="F14" s="14">
        <v>1981</v>
      </c>
      <c r="G14" s="9">
        <f t="shared" si="1"/>
        <v>11.547107686371389</v>
      </c>
    </row>
    <row r="15" spans="1:10">
      <c r="A15" s="14">
        <v>1982</v>
      </c>
      <c r="B15" s="9">
        <f t="shared" si="0"/>
        <v>9.0051525103899372</v>
      </c>
      <c r="F15" s="14">
        <v>1982</v>
      </c>
      <c r="G15" s="9">
        <f t="shared" si="1"/>
        <v>11.401579426630402</v>
      </c>
    </row>
    <row r="16" spans="1:10">
      <c r="A16" s="14">
        <v>1983</v>
      </c>
      <c r="B16" s="9">
        <f t="shared" si="0"/>
        <v>9.0501955972060486</v>
      </c>
      <c r="F16" s="14">
        <v>1983</v>
      </c>
      <c r="G16" s="9">
        <f t="shared" si="1"/>
        <v>11.254286295281588</v>
      </c>
    </row>
    <row r="17" spans="1:7">
      <c r="A17" s="14">
        <v>1984</v>
      </c>
      <c r="B17" s="9">
        <f t="shared" si="0"/>
        <v>9.0051525103899372</v>
      </c>
      <c r="F17" s="14">
        <v>1984</v>
      </c>
      <c r="G17" s="9">
        <f t="shared" si="1"/>
        <v>11.401579426630402</v>
      </c>
    </row>
    <row r="18" spans="1:7">
      <c r="A18" s="14">
        <v>1985</v>
      </c>
      <c r="B18" s="9">
        <f t="shared" si="0"/>
        <v>8.701982374080103</v>
      </c>
      <c r="F18" s="14">
        <v>1985</v>
      </c>
      <c r="G18" s="9">
        <f t="shared" si="1"/>
        <v>11.401579426630402</v>
      </c>
    </row>
    <row r="19" spans="1:7">
      <c r="A19" s="14">
        <v>1986</v>
      </c>
      <c r="B19" s="9">
        <f t="shared" si="0"/>
        <v>8.2997383052711786</v>
      </c>
      <c r="F19" s="14">
        <v>1986</v>
      </c>
      <c r="G19" s="9">
        <f t="shared" si="1"/>
        <v>10.849381161041752</v>
      </c>
    </row>
    <row r="20" spans="1:7">
      <c r="A20" s="14">
        <v>1987</v>
      </c>
      <c r="B20" s="9">
        <f t="shared" si="0"/>
        <v>8.337985947230953</v>
      </c>
      <c r="F20" s="14">
        <v>1987</v>
      </c>
      <c r="G20" s="9">
        <f t="shared" si="1"/>
        <v>10.657661240207757</v>
      </c>
    </row>
    <row r="21" spans="1:7">
      <c r="A21" s="14">
        <v>1988</v>
      </c>
      <c r="B21" s="9">
        <f t="shared" si="0"/>
        <v>8.1136455181574743</v>
      </c>
      <c r="F21" s="14">
        <v>1988</v>
      </c>
      <c r="G21" s="9">
        <f t="shared" si="1"/>
        <v>11.048125109036411</v>
      </c>
    </row>
    <row r="22" spans="1:7">
      <c r="A22" s="14">
        <v>1989</v>
      </c>
      <c r="B22" s="9">
        <f t="shared" si="0"/>
        <v>8.2618399568452823</v>
      </c>
      <c r="F22" s="14">
        <v>1989</v>
      </c>
      <c r="G22" s="9">
        <f t="shared" si="1"/>
        <v>11.116001113959603</v>
      </c>
    </row>
    <row r="23" spans="1:7">
      <c r="A23" s="14">
        <v>1990</v>
      </c>
      <c r="B23" s="9">
        <f t="shared" si="0"/>
        <v>8.4155486072051957</v>
      </c>
      <c r="F23" s="14">
        <v>1990</v>
      </c>
      <c r="G23" s="9">
        <f t="shared" si="1"/>
        <v>11.254286295281588</v>
      </c>
    </row>
    <row r="24" spans="1:7">
      <c r="A24" s="14">
        <v>1991</v>
      </c>
      <c r="B24" s="9">
        <f t="shared" si="0"/>
        <v>8.3765877340236905</v>
      </c>
      <c r="F24" s="14">
        <v>1991</v>
      </c>
      <c r="G24" s="9">
        <f t="shared" si="1"/>
        <v>10.849381161041752</v>
      </c>
    </row>
    <row r="25" spans="1:7">
      <c r="A25" s="14">
        <v>1992</v>
      </c>
      <c r="B25" s="9">
        <f t="shared" si="0"/>
        <v>8.534636559193947</v>
      </c>
      <c r="F25" s="14">
        <v>1992</v>
      </c>
      <c r="G25" s="9">
        <f t="shared" si="1"/>
        <v>11.116001113959603</v>
      </c>
    </row>
    <row r="26" spans="1:7">
      <c r="A26" s="14">
        <v>1993</v>
      </c>
      <c r="B26" s="9">
        <f t="shared" si="0"/>
        <v>8.2997383052711786</v>
      </c>
      <c r="F26" s="14">
        <v>1993</v>
      </c>
      <c r="G26" s="9">
        <f t="shared" si="1"/>
        <v>10.914829864101401</v>
      </c>
    </row>
    <row r="27" spans="1:7">
      <c r="A27" s="14">
        <v>1994</v>
      </c>
      <c r="B27" s="9">
        <f t="shared" si="0"/>
        <v>8.3765877340236905</v>
      </c>
      <c r="F27" s="14">
        <v>1994</v>
      </c>
      <c r="G27" s="9">
        <f t="shared" si="1"/>
        <v>11.254286295281588</v>
      </c>
    </row>
    <row r="28" spans="1:7">
      <c r="A28" s="14">
        <v>1995</v>
      </c>
      <c r="B28" s="9">
        <f t="shared" si="0"/>
        <v>8.2242861388596218</v>
      </c>
      <c r="F28" s="14">
        <v>1995</v>
      </c>
      <c r="G28" s="9">
        <f t="shared" si="1"/>
        <v>11.330182252956897</v>
      </c>
    </row>
    <row r="29" spans="1:7">
      <c r="A29" s="14">
        <v>1996</v>
      </c>
      <c r="B29" s="9">
        <f t="shared" si="0"/>
        <v>8.2618399568452823</v>
      </c>
      <c r="F29" s="14">
        <v>1996</v>
      </c>
      <c r="G29" s="9">
        <f t="shared" si="1"/>
        <v>11.116001113959603</v>
      </c>
    </row>
    <row r="30" spans="1:7">
      <c r="A30" s="14">
        <v>1997</v>
      </c>
      <c r="B30" s="9">
        <f t="shared" si="0"/>
        <v>8.1870721744303925</v>
      </c>
      <c r="F30" s="14">
        <v>1997</v>
      </c>
      <c r="G30" s="9">
        <f t="shared" si="1"/>
        <v>11.330182252956897</v>
      </c>
    </row>
    <row r="31" spans="1:7">
      <c r="A31" s="14">
        <v>1998</v>
      </c>
      <c r="B31" s="9">
        <f t="shared" si="0"/>
        <v>8.1501934709419679</v>
      </c>
      <c r="F31" s="14">
        <v>1998</v>
      </c>
      <c r="G31" s="9">
        <f t="shared" si="1"/>
        <v>11.116001113959603</v>
      </c>
    </row>
    <row r="32" spans="1:7">
      <c r="A32" s="14">
        <v>1999</v>
      </c>
      <c r="B32" s="9">
        <f t="shared" si="0"/>
        <v>8.2997383052711786</v>
      </c>
      <c r="F32" s="14">
        <v>1999</v>
      </c>
      <c r="G32" s="9">
        <f t="shared" si="1"/>
        <v>11.473882125433423</v>
      </c>
    </row>
    <row r="33" spans="1:10">
      <c r="A33" s="14">
        <v>2000</v>
      </c>
      <c r="B33" s="9">
        <f t="shared" si="0"/>
        <v>8.2997383052711786</v>
      </c>
      <c r="F33" s="14">
        <v>2000</v>
      </c>
      <c r="G33" s="9">
        <f t="shared" si="1"/>
        <v>11.184716289652172</v>
      </c>
    </row>
    <row r="34" spans="1:10">
      <c r="A34" s="14">
        <v>2001</v>
      </c>
      <c r="B34" s="9">
        <f t="shared" si="0"/>
        <v>8.1870721744303925</v>
      </c>
      <c r="F34" s="14">
        <v>2001</v>
      </c>
      <c r="G34" s="9">
        <f t="shared" si="1"/>
        <v>11.254286295281588</v>
      </c>
    </row>
    <row r="35" spans="1:10">
      <c r="A35" s="14">
        <v>2002</v>
      </c>
      <c r="B35" s="9">
        <f t="shared" si="0"/>
        <v>8.1870721744303925</v>
      </c>
      <c r="F35" s="14">
        <v>2002</v>
      </c>
      <c r="G35" s="9">
        <f t="shared" si="1"/>
        <v>11.330182252956897</v>
      </c>
    </row>
    <row r="36" spans="1:10">
      <c r="A36" s="14">
        <v>2003</v>
      </c>
      <c r="B36" s="9">
        <f t="shared" si="0"/>
        <v>8.1136455181574743</v>
      </c>
      <c r="F36" s="14">
        <v>2003</v>
      </c>
      <c r="G36" s="9">
        <f t="shared" si="1"/>
        <v>11.254286295281588</v>
      </c>
    </row>
    <row r="37" spans="1:10">
      <c r="A37" s="14">
        <v>2004</v>
      </c>
      <c r="B37" s="9">
        <f t="shared" si="0"/>
        <v>8.0774238863799859</v>
      </c>
      <c r="F37" s="14">
        <v>2004</v>
      </c>
      <c r="G37" s="9">
        <f t="shared" si="1"/>
        <v>11.254286295281588</v>
      </c>
    </row>
    <row r="38" spans="1:10">
      <c r="A38" s="14">
        <v>2005</v>
      </c>
      <c r="B38" s="9">
        <f t="shared" si="0"/>
        <v>7.898407776070691</v>
      </c>
      <c r="F38" s="14">
        <v>2005</v>
      </c>
      <c r="G38" s="9">
        <f t="shared" si="1"/>
        <v>10.914829864101401</v>
      </c>
    </row>
    <row r="39" spans="1:10">
      <c r="A39" s="14">
        <v>2006</v>
      </c>
      <c r="B39" s="9">
        <f t="shared" si="0"/>
        <v>8.0774238863799859</v>
      </c>
      <c r="F39" s="14">
        <v>2006</v>
      </c>
      <c r="G39" s="9">
        <f t="shared" si="1"/>
        <v>10.657661240207757</v>
      </c>
    </row>
    <row r="40" spans="1:10">
      <c r="A40" s="14">
        <v>2007</v>
      </c>
      <c r="B40" s="9">
        <f t="shared" si="0"/>
        <v>7.9706737909652716</v>
      </c>
      <c r="F40" s="14">
        <v>2007</v>
      </c>
      <c r="G40" s="9">
        <f t="shared" si="1"/>
        <v>10.595251512224559</v>
      </c>
    </row>
    <row r="43" spans="1:10">
      <c r="A43" s="8" t="s">
        <v>99</v>
      </c>
      <c r="B43" s="8"/>
      <c r="C43" s="8"/>
      <c r="D43" s="8"/>
      <c r="F43" s="8" t="s">
        <v>98</v>
      </c>
      <c r="G43" s="8"/>
      <c r="H43" s="8"/>
      <c r="I43" s="8"/>
      <c r="J43" s="8"/>
    </row>
    <row r="45" spans="1:10">
      <c r="A45" s="14">
        <v>1975</v>
      </c>
      <c r="B45">
        <v>15.93</v>
      </c>
      <c r="F45" s="14">
        <v>1975</v>
      </c>
      <c r="G45">
        <v>13.97</v>
      </c>
    </row>
    <row r="46" spans="1:10">
      <c r="A46" s="14">
        <v>1976</v>
      </c>
      <c r="B46">
        <v>17.63</v>
      </c>
      <c r="F46" s="14">
        <v>1976</v>
      </c>
      <c r="G46">
        <v>14.5</v>
      </c>
    </row>
    <row r="47" spans="1:10">
      <c r="A47" s="14">
        <v>1977</v>
      </c>
      <c r="B47">
        <v>18.809999999999999</v>
      </c>
      <c r="F47" s="14">
        <v>1977</v>
      </c>
      <c r="G47">
        <v>15.93</v>
      </c>
    </row>
    <row r="48" spans="1:10">
      <c r="A48" s="14">
        <v>1978</v>
      </c>
      <c r="B48">
        <v>20.239999999999998</v>
      </c>
      <c r="F48" s="14">
        <v>1978</v>
      </c>
      <c r="G48">
        <v>15.02</v>
      </c>
    </row>
    <row r="49" spans="1:7">
      <c r="A49" s="14">
        <v>1979</v>
      </c>
      <c r="B49">
        <v>20.37</v>
      </c>
      <c r="F49" s="14">
        <v>1979</v>
      </c>
      <c r="G49">
        <v>14.89</v>
      </c>
    </row>
    <row r="50" spans="1:7">
      <c r="A50" s="14">
        <v>1980</v>
      </c>
      <c r="B50">
        <v>23.77</v>
      </c>
      <c r="F50" s="14">
        <v>1980</v>
      </c>
      <c r="G50">
        <v>18.940000000000001</v>
      </c>
    </row>
    <row r="51" spans="1:7">
      <c r="A51" s="14">
        <v>1981</v>
      </c>
      <c r="B51">
        <v>25.21</v>
      </c>
      <c r="F51" s="14">
        <v>1981</v>
      </c>
      <c r="G51">
        <v>20.37</v>
      </c>
    </row>
    <row r="52" spans="1:7">
      <c r="A52" s="14">
        <v>1982</v>
      </c>
      <c r="B52">
        <v>26.12</v>
      </c>
      <c r="F52" s="14">
        <v>1982</v>
      </c>
      <c r="G52">
        <v>20.63</v>
      </c>
    </row>
    <row r="53" spans="1:7">
      <c r="A53" s="14">
        <v>1983</v>
      </c>
      <c r="B53">
        <v>25.99</v>
      </c>
      <c r="F53" s="14">
        <v>1983</v>
      </c>
      <c r="G53">
        <v>20.9</v>
      </c>
    </row>
    <row r="54" spans="1:7">
      <c r="A54" s="14">
        <v>1984</v>
      </c>
      <c r="B54">
        <v>26.12</v>
      </c>
      <c r="F54" s="14">
        <v>1984</v>
      </c>
      <c r="G54">
        <v>20.63</v>
      </c>
    </row>
    <row r="55" spans="1:7">
      <c r="A55" s="14">
        <v>1985</v>
      </c>
      <c r="B55">
        <v>27.03</v>
      </c>
      <c r="F55" s="14">
        <v>1985</v>
      </c>
      <c r="G55">
        <v>20.63</v>
      </c>
    </row>
    <row r="56" spans="1:7">
      <c r="A56" s="14">
        <v>1986</v>
      </c>
      <c r="B56">
        <v>28.34</v>
      </c>
      <c r="F56" s="14">
        <v>1986</v>
      </c>
      <c r="G56">
        <v>21.68</v>
      </c>
    </row>
    <row r="57" spans="1:7">
      <c r="A57" s="14">
        <v>1987</v>
      </c>
      <c r="B57">
        <v>28.21</v>
      </c>
      <c r="F57" s="14">
        <v>1987</v>
      </c>
      <c r="G57">
        <v>22.07</v>
      </c>
    </row>
    <row r="58" spans="1:7">
      <c r="A58" s="14">
        <v>1988</v>
      </c>
      <c r="B58">
        <v>28.99</v>
      </c>
      <c r="F58" s="14">
        <v>1988</v>
      </c>
      <c r="G58">
        <v>21.29</v>
      </c>
    </row>
    <row r="59" spans="1:7">
      <c r="A59" s="14">
        <v>1989</v>
      </c>
      <c r="B59">
        <v>28.47</v>
      </c>
      <c r="F59" s="14">
        <v>1989</v>
      </c>
      <c r="G59">
        <v>21.16</v>
      </c>
    </row>
    <row r="60" spans="1:7">
      <c r="A60" s="14">
        <v>1990</v>
      </c>
      <c r="B60">
        <v>27.95</v>
      </c>
      <c r="F60" s="14">
        <v>1990</v>
      </c>
      <c r="G60">
        <v>20.9</v>
      </c>
    </row>
    <row r="61" spans="1:7">
      <c r="A61" s="14">
        <v>1991</v>
      </c>
      <c r="B61">
        <v>28.08</v>
      </c>
      <c r="F61" s="14">
        <v>1991</v>
      </c>
      <c r="G61">
        <v>21.68</v>
      </c>
    </row>
    <row r="62" spans="1:7">
      <c r="A62" s="14">
        <v>1992</v>
      </c>
      <c r="B62">
        <v>27.56</v>
      </c>
      <c r="F62" s="14">
        <v>1992</v>
      </c>
      <c r="G62">
        <v>21.16</v>
      </c>
    </row>
    <row r="63" spans="1:7">
      <c r="A63" s="14">
        <v>1993</v>
      </c>
      <c r="B63">
        <v>28.34</v>
      </c>
      <c r="F63" s="14">
        <v>1993</v>
      </c>
      <c r="G63">
        <v>21.55</v>
      </c>
    </row>
    <row r="64" spans="1:7">
      <c r="A64" s="14">
        <v>1994</v>
      </c>
      <c r="B64">
        <v>28.08</v>
      </c>
      <c r="F64" s="14">
        <v>1994</v>
      </c>
      <c r="G64">
        <v>20.9</v>
      </c>
    </row>
    <row r="65" spans="1:7">
      <c r="A65" s="14">
        <v>1995</v>
      </c>
      <c r="B65">
        <v>28.6</v>
      </c>
      <c r="F65" s="14">
        <v>1995</v>
      </c>
      <c r="G65">
        <v>20.76</v>
      </c>
    </row>
    <row r="66" spans="1:7">
      <c r="A66" s="14">
        <v>1996</v>
      </c>
      <c r="B66">
        <v>28.47</v>
      </c>
      <c r="F66" s="14">
        <v>1996</v>
      </c>
      <c r="G66">
        <v>21.16</v>
      </c>
    </row>
    <row r="67" spans="1:7">
      <c r="A67" s="14">
        <v>1997</v>
      </c>
      <c r="B67">
        <v>28.73</v>
      </c>
      <c r="F67" s="14">
        <v>1997</v>
      </c>
      <c r="G67">
        <v>20.76</v>
      </c>
    </row>
    <row r="68" spans="1:7">
      <c r="A68" s="14">
        <v>1998</v>
      </c>
      <c r="B68">
        <v>28.86</v>
      </c>
      <c r="F68" s="14">
        <v>1998</v>
      </c>
      <c r="G68">
        <v>21.16</v>
      </c>
    </row>
    <row r="69" spans="1:7">
      <c r="A69" s="14">
        <v>1999</v>
      </c>
      <c r="B69">
        <v>28.34</v>
      </c>
      <c r="F69" s="14">
        <v>1999</v>
      </c>
      <c r="G69">
        <v>20.5</v>
      </c>
    </row>
    <row r="70" spans="1:7">
      <c r="A70" s="14">
        <v>2000</v>
      </c>
      <c r="B70">
        <v>28.34</v>
      </c>
      <c r="F70" s="14">
        <v>2000</v>
      </c>
      <c r="G70">
        <v>21.03</v>
      </c>
    </row>
    <row r="71" spans="1:7">
      <c r="A71" s="14">
        <v>2001</v>
      </c>
      <c r="B71">
        <v>28.73</v>
      </c>
      <c r="F71" s="14">
        <v>2001</v>
      </c>
      <c r="G71">
        <v>20.9</v>
      </c>
    </row>
    <row r="72" spans="1:7">
      <c r="A72" s="14">
        <v>2002</v>
      </c>
      <c r="B72">
        <v>28.73</v>
      </c>
      <c r="F72" s="14">
        <v>2002</v>
      </c>
      <c r="G72">
        <v>20.76</v>
      </c>
    </row>
    <row r="73" spans="1:7">
      <c r="A73" s="14">
        <v>2003</v>
      </c>
      <c r="B73">
        <v>28.99</v>
      </c>
      <c r="F73" s="14">
        <v>2003</v>
      </c>
      <c r="G73">
        <v>20.9</v>
      </c>
    </row>
    <row r="74" spans="1:7">
      <c r="A74" s="14">
        <v>2004</v>
      </c>
      <c r="B74">
        <v>29.12</v>
      </c>
      <c r="F74" s="14">
        <v>2004</v>
      </c>
      <c r="G74">
        <v>20.9</v>
      </c>
    </row>
    <row r="75" spans="1:7">
      <c r="A75" s="14">
        <v>2005</v>
      </c>
      <c r="B75">
        <v>29.78</v>
      </c>
      <c r="F75" s="14">
        <v>2005</v>
      </c>
      <c r="G75">
        <v>21.55</v>
      </c>
    </row>
    <row r="76" spans="1:7">
      <c r="A76" s="14">
        <v>2006</v>
      </c>
      <c r="B76">
        <v>29.12</v>
      </c>
      <c r="F76" s="14">
        <v>2006</v>
      </c>
      <c r="G76">
        <v>22.07</v>
      </c>
    </row>
    <row r="77" spans="1:7">
      <c r="A77" s="14">
        <v>2007</v>
      </c>
      <c r="B77">
        <v>29.51</v>
      </c>
      <c r="F77" s="14">
        <v>2007</v>
      </c>
      <c r="G77">
        <v>22.2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92D050"/>
  </sheetPr>
  <dimension ref="A1:E12"/>
  <sheetViews>
    <sheetView workbookViewId="0">
      <selection activeCell="D15" sqref="D15"/>
    </sheetView>
  </sheetViews>
  <sheetFormatPr defaultRowHeight="14.4"/>
  <sheetData>
    <row r="1" spans="1:5">
      <c r="A1" t="s">
        <v>12</v>
      </c>
    </row>
    <row r="6" spans="1:5">
      <c r="A6" s="8" t="s">
        <v>40</v>
      </c>
      <c r="B6" s="8"/>
      <c r="C6" s="8"/>
      <c r="D6" s="8"/>
      <c r="E6" s="8"/>
    </row>
    <row r="8" spans="1:5">
      <c r="B8" s="7" t="s">
        <v>37</v>
      </c>
      <c r="C8" s="7" t="s">
        <v>38</v>
      </c>
      <c r="D8" s="7" t="s">
        <v>39</v>
      </c>
    </row>
    <row r="9" spans="1:5">
      <c r="A9" s="6">
        <v>2012</v>
      </c>
      <c r="B9" s="9">
        <v>6.5830000000000002</v>
      </c>
      <c r="C9" s="9">
        <v>8.4190000000000005</v>
      </c>
      <c r="D9" s="9">
        <v>6.0839999999999996</v>
      </c>
    </row>
    <row r="10" spans="1:5">
      <c r="A10" s="6">
        <v>2013</v>
      </c>
      <c r="B10" s="9">
        <v>6.5830000000000002</v>
      </c>
      <c r="C10" s="9">
        <v>7.4009999999999998</v>
      </c>
      <c r="D10" s="9">
        <v>6.3019999999999996</v>
      </c>
    </row>
    <row r="11" spans="1:5">
      <c r="A11" s="6">
        <v>2014</v>
      </c>
      <c r="B11" s="9">
        <v>6.5519999999999996</v>
      </c>
      <c r="C11" s="9">
        <v>7.68</v>
      </c>
      <c r="D11" s="9">
        <v>6.3959999999999999</v>
      </c>
    </row>
    <row r="12" spans="1:5">
      <c r="A12" s="6">
        <v>2015</v>
      </c>
      <c r="B12" s="9">
        <v>6.7709999999999999</v>
      </c>
      <c r="C12" s="9">
        <v>7.774</v>
      </c>
      <c r="D12" s="9">
        <v>6.4889999999999999</v>
      </c>
    </row>
  </sheetData>
  <pageMargins left="0.7" right="0.7" top="0.75" bottom="0.75" header="0.3" footer="0.3"/>
  <pageSetup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tabColor rgb="FF92D050"/>
  </sheetPr>
  <dimension ref="A1:O94"/>
  <sheetViews>
    <sheetView topLeftCell="A25" workbookViewId="0">
      <selection activeCell="A50" sqref="A50"/>
    </sheetView>
  </sheetViews>
  <sheetFormatPr defaultRowHeight="14.4"/>
  <cols>
    <col min="14" max="14" width="13.33203125" customWidth="1"/>
  </cols>
  <sheetData>
    <row r="1" spans="1:7">
      <c r="A1" t="s">
        <v>20</v>
      </c>
    </row>
    <row r="6" spans="1:7">
      <c r="A6" s="8" t="s">
        <v>75</v>
      </c>
      <c r="B6" s="8"/>
      <c r="C6" s="8"/>
      <c r="D6" s="8"/>
    </row>
    <row r="7" spans="1:7">
      <c r="B7" s="11" t="s">
        <v>79</v>
      </c>
      <c r="C7" s="11" t="s">
        <v>81</v>
      </c>
      <c r="D7" s="11" t="s">
        <v>80</v>
      </c>
      <c r="E7" s="11" t="s">
        <v>78</v>
      </c>
      <c r="F7" s="11" t="s">
        <v>77</v>
      </c>
      <c r="G7" s="11" t="s">
        <v>76</v>
      </c>
    </row>
    <row r="8" spans="1:7">
      <c r="A8" s="12">
        <v>1974.93</v>
      </c>
      <c r="E8">
        <v>8.39</v>
      </c>
      <c r="G8">
        <v>8.44</v>
      </c>
    </row>
    <row r="9" spans="1:7">
      <c r="A9" s="12">
        <v>1975.93</v>
      </c>
    </row>
    <row r="10" spans="1:7">
      <c r="A10" s="12">
        <v>1977</v>
      </c>
      <c r="E10">
        <v>8.59</v>
      </c>
      <c r="G10">
        <v>8.85</v>
      </c>
    </row>
    <row r="11" spans="1:7">
      <c r="A11" s="12">
        <v>1978</v>
      </c>
      <c r="B11">
        <v>9.36</v>
      </c>
      <c r="E11">
        <v>8.34</v>
      </c>
      <c r="F11">
        <v>9.1</v>
      </c>
    </row>
    <row r="12" spans="1:7">
      <c r="A12" s="12">
        <v>1979.2</v>
      </c>
      <c r="B12">
        <v>9.25</v>
      </c>
      <c r="E12">
        <v>8.49</v>
      </c>
      <c r="F12">
        <v>9.1</v>
      </c>
      <c r="G12">
        <v>8.24</v>
      </c>
    </row>
    <row r="13" spans="1:7">
      <c r="A13" s="12">
        <v>1980.2</v>
      </c>
      <c r="B13">
        <v>8.8000000000000007</v>
      </c>
      <c r="C13">
        <v>7.63</v>
      </c>
      <c r="D13">
        <v>9.36</v>
      </c>
      <c r="E13">
        <v>8.0299999999999994</v>
      </c>
      <c r="F13">
        <v>8.69</v>
      </c>
    </row>
    <row r="14" spans="1:7">
      <c r="A14" s="12">
        <v>1981.2</v>
      </c>
      <c r="D14">
        <v>9.36</v>
      </c>
      <c r="E14">
        <v>8.08</v>
      </c>
      <c r="F14">
        <v>8.64</v>
      </c>
    </row>
    <row r="15" spans="1:7">
      <c r="A15" s="12">
        <v>1981.73</v>
      </c>
      <c r="B15">
        <v>8.69</v>
      </c>
      <c r="C15">
        <v>7.32</v>
      </c>
      <c r="D15">
        <v>8.59</v>
      </c>
      <c r="E15">
        <v>7.37</v>
      </c>
      <c r="F15">
        <v>8.24</v>
      </c>
      <c r="G15">
        <v>8.24</v>
      </c>
    </row>
    <row r="16" spans="1:7">
      <c r="A16" s="12">
        <v>1982.95</v>
      </c>
      <c r="B16">
        <v>8.5399999999999991</v>
      </c>
      <c r="C16">
        <v>6.86</v>
      </c>
      <c r="D16">
        <v>8.85</v>
      </c>
      <c r="E16">
        <v>7.32</v>
      </c>
      <c r="F16">
        <v>8.19</v>
      </c>
      <c r="G16">
        <v>8.0299999999999994</v>
      </c>
    </row>
    <row r="17" spans="1:15">
      <c r="A17" s="12">
        <v>1984.01</v>
      </c>
      <c r="D17">
        <v>8.44</v>
      </c>
      <c r="E17">
        <v>6.92</v>
      </c>
      <c r="F17">
        <v>7.73</v>
      </c>
      <c r="G17">
        <v>7.58</v>
      </c>
    </row>
    <row r="18" spans="1:15">
      <c r="A18" s="12">
        <v>1984.9</v>
      </c>
      <c r="B18">
        <v>8.5399999999999991</v>
      </c>
      <c r="C18">
        <v>6.51</v>
      </c>
      <c r="D18">
        <v>8.14</v>
      </c>
      <c r="E18">
        <v>7.02</v>
      </c>
      <c r="G18">
        <v>7.73</v>
      </c>
    </row>
    <row r="19" spans="1:15">
      <c r="A19" s="12">
        <v>1985.9</v>
      </c>
      <c r="D19">
        <v>8.64</v>
      </c>
      <c r="F19">
        <v>7.42</v>
      </c>
    </row>
    <row r="20" spans="1:15">
      <c r="A20" s="12">
        <v>1986.94</v>
      </c>
      <c r="B20">
        <v>8.24</v>
      </c>
      <c r="C20">
        <v>6.41</v>
      </c>
      <c r="E20">
        <v>7.02</v>
      </c>
      <c r="F20">
        <v>7.58</v>
      </c>
      <c r="G20">
        <v>7.42</v>
      </c>
    </row>
    <row r="21" spans="1:15">
      <c r="A21" s="12">
        <v>1987.94</v>
      </c>
      <c r="B21">
        <v>8.39</v>
      </c>
      <c r="C21">
        <v>6.41</v>
      </c>
      <c r="D21">
        <v>7.93</v>
      </c>
      <c r="E21">
        <v>7.12</v>
      </c>
    </row>
    <row r="22" spans="1:15">
      <c r="A22" s="12">
        <v>1989.38</v>
      </c>
      <c r="B22">
        <v>8.39</v>
      </c>
      <c r="D22">
        <v>8.24</v>
      </c>
      <c r="F22">
        <v>7.73</v>
      </c>
      <c r="G22">
        <v>7.27</v>
      </c>
    </row>
    <row r="23" spans="1:15">
      <c r="A23" s="12">
        <v>1990.38</v>
      </c>
      <c r="C23">
        <v>6.71</v>
      </c>
      <c r="D23">
        <v>7.93</v>
      </c>
      <c r="F23">
        <v>7.73</v>
      </c>
    </row>
    <row r="24" spans="1:15">
      <c r="A24" s="12">
        <v>1991.34</v>
      </c>
      <c r="B24">
        <v>8.34</v>
      </c>
      <c r="F24">
        <v>7.73</v>
      </c>
      <c r="G24">
        <v>7.17</v>
      </c>
    </row>
    <row r="25" spans="1:15">
      <c r="A25" s="12">
        <v>1992.34</v>
      </c>
      <c r="C25">
        <v>6.76</v>
      </c>
      <c r="D25">
        <v>8.34</v>
      </c>
    </row>
    <row r="26" spans="1:15">
      <c r="A26" s="12">
        <v>1992.8</v>
      </c>
      <c r="B26">
        <v>8.39</v>
      </c>
      <c r="C26">
        <v>6.97</v>
      </c>
      <c r="D26">
        <v>7.83</v>
      </c>
      <c r="F26">
        <v>7.78</v>
      </c>
      <c r="G26">
        <v>7.22</v>
      </c>
    </row>
    <row r="27" spans="1:15">
      <c r="A27" s="12">
        <v>1993.98</v>
      </c>
      <c r="B27">
        <v>8.49</v>
      </c>
      <c r="D27">
        <v>7.63</v>
      </c>
      <c r="F27">
        <v>7.78</v>
      </c>
      <c r="G27">
        <v>7.37</v>
      </c>
    </row>
    <row r="28" spans="1:15">
      <c r="A28" s="12">
        <v>1994.98</v>
      </c>
      <c r="B28">
        <v>8.34</v>
      </c>
      <c r="D28">
        <v>8.08</v>
      </c>
      <c r="F28">
        <v>7.78</v>
      </c>
    </row>
    <row r="31" spans="1:15">
      <c r="A31" s="8" t="s">
        <v>82</v>
      </c>
      <c r="B31" s="8"/>
      <c r="C31" s="8"/>
      <c r="D31" s="8"/>
    </row>
    <row r="32" spans="1:15">
      <c r="B32" s="11" t="s">
        <v>79</v>
      </c>
      <c r="C32" s="11" t="s">
        <v>81</v>
      </c>
      <c r="D32" s="11" t="s">
        <v>83</v>
      </c>
      <c r="E32" s="11" t="s">
        <v>78</v>
      </c>
      <c r="F32" s="11" t="s">
        <v>77</v>
      </c>
      <c r="G32" s="11" t="s">
        <v>76</v>
      </c>
      <c r="O32" s="10"/>
    </row>
    <row r="33" spans="1:15">
      <c r="A33" s="14">
        <v>1970</v>
      </c>
      <c r="B33">
        <v>9.66</v>
      </c>
      <c r="C33">
        <v>10.37</v>
      </c>
      <c r="D33">
        <v>8.59</v>
      </c>
      <c r="G33">
        <v>8.9499999999999993</v>
      </c>
      <c r="O33" s="10"/>
    </row>
    <row r="34" spans="1:15">
      <c r="A34" s="14">
        <v>1971</v>
      </c>
      <c r="B34">
        <v>9.9700000000000006</v>
      </c>
      <c r="C34">
        <v>10.58</v>
      </c>
      <c r="G34">
        <v>9.7100000000000009</v>
      </c>
      <c r="O34" s="10"/>
    </row>
    <row r="35" spans="1:15">
      <c r="A35" s="14">
        <v>1972</v>
      </c>
      <c r="B35">
        <v>10.220000000000001</v>
      </c>
      <c r="D35">
        <v>8.5399999999999991</v>
      </c>
      <c r="E35">
        <v>9.61</v>
      </c>
      <c r="F35">
        <v>9.66</v>
      </c>
      <c r="G35">
        <v>9.66</v>
      </c>
      <c r="O35" s="10"/>
    </row>
    <row r="36" spans="1:15">
      <c r="A36" s="14">
        <v>1973</v>
      </c>
      <c r="B36">
        <v>10.02</v>
      </c>
      <c r="C36">
        <v>10.68</v>
      </c>
      <c r="D36">
        <v>8.9499999999999993</v>
      </c>
      <c r="E36">
        <v>9.25</v>
      </c>
      <c r="O36" s="10"/>
    </row>
    <row r="37" spans="1:15">
      <c r="A37" s="14">
        <v>1974</v>
      </c>
      <c r="B37">
        <v>9.92</v>
      </c>
      <c r="C37">
        <v>10.32</v>
      </c>
      <c r="D37">
        <v>8.59</v>
      </c>
      <c r="O37" s="10"/>
    </row>
    <row r="38" spans="1:15">
      <c r="A38" s="14">
        <v>1975</v>
      </c>
      <c r="C38">
        <v>10.68</v>
      </c>
      <c r="D38">
        <v>8.8000000000000007</v>
      </c>
      <c r="E38">
        <v>9.1</v>
      </c>
      <c r="F38">
        <v>9.61</v>
      </c>
      <c r="G38">
        <v>9.15</v>
      </c>
      <c r="O38" s="10"/>
    </row>
    <row r="39" spans="1:15">
      <c r="A39" s="14">
        <v>1976</v>
      </c>
      <c r="B39">
        <v>10.17</v>
      </c>
      <c r="C39">
        <v>10.63</v>
      </c>
      <c r="D39">
        <v>9.1</v>
      </c>
      <c r="E39">
        <v>8.85</v>
      </c>
      <c r="O39" s="10"/>
    </row>
    <row r="40" spans="1:15">
      <c r="A40" s="14">
        <v>1977</v>
      </c>
      <c r="B40">
        <v>10.27</v>
      </c>
      <c r="G40">
        <v>9.1</v>
      </c>
      <c r="O40" s="10"/>
    </row>
    <row r="41" spans="1:15">
      <c r="A41" s="14">
        <v>1978</v>
      </c>
      <c r="C41">
        <v>10.88</v>
      </c>
      <c r="D41">
        <v>9.15</v>
      </c>
      <c r="E41">
        <v>8.69</v>
      </c>
      <c r="F41">
        <v>9</v>
      </c>
      <c r="G41">
        <v>9.1999999999999993</v>
      </c>
      <c r="O41" s="10"/>
    </row>
    <row r="42" spans="1:15">
      <c r="A42" s="14">
        <v>1979</v>
      </c>
      <c r="B42">
        <v>10.17</v>
      </c>
      <c r="E42">
        <v>9.0500000000000007</v>
      </c>
      <c r="G42">
        <v>9.4600000000000009</v>
      </c>
      <c r="O42" s="10"/>
    </row>
    <row r="43" spans="1:15">
      <c r="A43" s="14">
        <v>1980</v>
      </c>
      <c r="B43">
        <v>10.220000000000001</v>
      </c>
      <c r="C43">
        <v>10.93</v>
      </c>
      <c r="D43">
        <v>8.85</v>
      </c>
      <c r="E43">
        <v>8.9</v>
      </c>
      <c r="O43" s="10"/>
    </row>
    <row r="44" spans="1:15">
      <c r="A44" s="14">
        <v>1981</v>
      </c>
      <c r="D44">
        <v>9.4600000000000009</v>
      </c>
      <c r="G44">
        <v>9</v>
      </c>
      <c r="O44" s="10"/>
    </row>
    <row r="45" spans="1:15">
      <c r="A45" s="14">
        <v>1982</v>
      </c>
      <c r="C45">
        <v>10.73</v>
      </c>
      <c r="E45">
        <v>8.9</v>
      </c>
      <c r="O45" s="10"/>
    </row>
    <row r="46" spans="1:15">
      <c r="A46" s="14">
        <v>1983</v>
      </c>
      <c r="B46">
        <v>10.17</v>
      </c>
      <c r="D46">
        <v>9.56</v>
      </c>
      <c r="E46">
        <v>8.9499999999999993</v>
      </c>
      <c r="G46">
        <v>9.15</v>
      </c>
      <c r="O46" s="10"/>
    </row>
    <row r="47" spans="1:15">
      <c r="A47" s="14">
        <v>1984</v>
      </c>
      <c r="C47">
        <v>10.73</v>
      </c>
      <c r="D47">
        <v>9.25</v>
      </c>
      <c r="E47">
        <v>8.85</v>
      </c>
      <c r="G47">
        <v>8.59</v>
      </c>
      <c r="O47" s="10"/>
    </row>
    <row r="48" spans="1:15">
      <c r="A48" s="14">
        <v>1985</v>
      </c>
      <c r="B48">
        <v>10.119999999999999</v>
      </c>
      <c r="O48" s="10"/>
    </row>
    <row r="49" spans="1:7">
      <c r="A49" s="14">
        <v>1986</v>
      </c>
      <c r="B49">
        <v>10.119999999999999</v>
      </c>
      <c r="C49">
        <v>10.58</v>
      </c>
      <c r="D49">
        <v>8.9499999999999993</v>
      </c>
      <c r="E49">
        <v>9.25</v>
      </c>
      <c r="G49">
        <v>8.59</v>
      </c>
    </row>
    <row r="50" spans="1:7">
      <c r="A50" s="14">
        <v>1987</v>
      </c>
      <c r="B50">
        <v>9.81</v>
      </c>
      <c r="F50">
        <v>8.75</v>
      </c>
    </row>
    <row r="51" spans="1:7">
      <c r="A51" s="14">
        <v>1988</v>
      </c>
      <c r="C51">
        <v>10.220000000000001</v>
      </c>
      <c r="D51">
        <v>8.8000000000000007</v>
      </c>
      <c r="E51">
        <v>8.9</v>
      </c>
      <c r="F51">
        <v>8.59</v>
      </c>
    </row>
    <row r="52" spans="1:7">
      <c r="A52" s="14">
        <v>1989</v>
      </c>
      <c r="B52">
        <v>9.66</v>
      </c>
      <c r="E52">
        <v>8.9499999999999993</v>
      </c>
      <c r="F52">
        <v>8.34</v>
      </c>
      <c r="G52">
        <v>7.93</v>
      </c>
    </row>
    <row r="53" spans="1:7">
      <c r="A53" s="14">
        <v>1990</v>
      </c>
      <c r="C53">
        <v>10.07</v>
      </c>
      <c r="D53">
        <v>8.64</v>
      </c>
      <c r="E53">
        <v>8.44</v>
      </c>
      <c r="G53">
        <v>8.08</v>
      </c>
    </row>
    <row r="54" spans="1:7">
      <c r="A54" s="14">
        <v>1991</v>
      </c>
      <c r="B54">
        <v>9.51</v>
      </c>
      <c r="C54">
        <v>9.76</v>
      </c>
      <c r="E54">
        <v>8.69</v>
      </c>
      <c r="G54">
        <v>7.88</v>
      </c>
    </row>
    <row r="55" spans="1:7">
      <c r="A55" s="14">
        <v>1992</v>
      </c>
      <c r="D55">
        <v>8.39</v>
      </c>
      <c r="E55">
        <v>8.44</v>
      </c>
      <c r="G55">
        <v>7.88</v>
      </c>
    </row>
    <row r="56" spans="1:7">
      <c r="A56" s="14">
        <v>1993</v>
      </c>
      <c r="B56">
        <v>9.36</v>
      </c>
      <c r="C56">
        <v>9.81</v>
      </c>
      <c r="D56">
        <v>8.2899999999999991</v>
      </c>
      <c r="G56">
        <v>7.63</v>
      </c>
    </row>
    <row r="57" spans="1:7">
      <c r="A57" s="14">
        <v>1994</v>
      </c>
      <c r="B57">
        <v>9.41</v>
      </c>
      <c r="C57">
        <v>10.02</v>
      </c>
      <c r="E57">
        <v>8.24</v>
      </c>
      <c r="G57">
        <v>7.73</v>
      </c>
    </row>
    <row r="58" spans="1:7">
      <c r="A58" s="14">
        <v>1995</v>
      </c>
      <c r="D58">
        <v>8.14</v>
      </c>
      <c r="E58">
        <v>7.88</v>
      </c>
      <c r="G58">
        <v>7.42</v>
      </c>
    </row>
    <row r="70" spans="1:8">
      <c r="B70" t="s">
        <v>499</v>
      </c>
    </row>
    <row r="72" spans="1:8">
      <c r="B72" t="str">
        <f>B32</f>
        <v>Sweden</v>
      </c>
      <c r="C72" t="str">
        <f t="shared" ref="C72:G72" si="0">C32</f>
        <v>Italy</v>
      </c>
      <c r="D72" t="str">
        <f t="shared" si="0"/>
        <v>W.Germany</v>
      </c>
      <c r="E72" t="str">
        <f t="shared" si="0"/>
        <v>Finland</v>
      </c>
      <c r="F72" t="str">
        <f t="shared" si="0"/>
        <v>UK</v>
      </c>
      <c r="G72" t="str">
        <f t="shared" si="0"/>
        <v>France</v>
      </c>
      <c r="H72" t="s">
        <v>560</v>
      </c>
    </row>
    <row r="73" spans="1:8">
      <c r="A73" s="14">
        <v>1975</v>
      </c>
      <c r="B73" s="9"/>
      <c r="C73" s="9"/>
      <c r="D73" s="9"/>
      <c r="E73" s="9">
        <f t="shared" ref="E73:G73" si="1">E8/E38</f>
        <v>0.92197802197802203</v>
      </c>
      <c r="F73" s="9"/>
      <c r="G73" s="9">
        <f t="shared" si="1"/>
        <v>0.92240437158469935</v>
      </c>
    </row>
    <row r="74" spans="1:8">
      <c r="A74" s="14">
        <v>1976</v>
      </c>
      <c r="B74" s="9"/>
      <c r="C74" s="9"/>
      <c r="D74" s="9"/>
      <c r="E74" s="9"/>
      <c r="F74" s="9"/>
      <c r="G74" s="9"/>
    </row>
    <row r="75" spans="1:8">
      <c r="A75" s="14">
        <v>1977</v>
      </c>
      <c r="B75" s="9"/>
      <c r="C75" s="9"/>
      <c r="D75" s="9"/>
      <c r="E75" s="9"/>
      <c r="F75" s="9"/>
      <c r="G75" s="9">
        <f t="shared" ref="G75" si="2">G10/G40</f>
        <v>0.97252747252747251</v>
      </c>
    </row>
    <row r="76" spans="1:8">
      <c r="A76" s="14">
        <v>1978</v>
      </c>
      <c r="B76" s="9"/>
      <c r="C76" s="9"/>
      <c r="D76" s="9"/>
      <c r="E76" s="9">
        <f t="shared" ref="E76:F76" si="3">E11/E41</f>
        <v>0.95972382048331417</v>
      </c>
      <c r="F76" s="9">
        <f t="shared" si="3"/>
        <v>1.0111111111111111</v>
      </c>
      <c r="G76" s="9"/>
    </row>
    <row r="77" spans="1:8">
      <c r="A77" s="14">
        <v>1979</v>
      </c>
      <c r="B77" s="9">
        <f t="shared" ref="B77:G77" si="4">B12/B42</f>
        <v>0.90953785644051133</v>
      </c>
      <c r="C77" s="9"/>
      <c r="D77" s="9"/>
      <c r="E77" s="9">
        <f t="shared" si="4"/>
        <v>0.93812154696132588</v>
      </c>
      <c r="F77" s="9"/>
      <c r="G77" s="9">
        <f t="shared" si="4"/>
        <v>0.87103594080338265</v>
      </c>
    </row>
    <row r="78" spans="1:8">
      <c r="A78" s="14">
        <v>1980</v>
      </c>
      <c r="B78" s="9">
        <f t="shared" ref="B78:E78" si="5">B13/B43</f>
        <v>0.86105675146771044</v>
      </c>
      <c r="C78" s="9">
        <f t="shared" si="5"/>
        <v>0.69807868252516014</v>
      </c>
      <c r="D78" s="9">
        <f t="shared" si="5"/>
        <v>1.0576271186440678</v>
      </c>
      <c r="E78" s="9">
        <f t="shared" si="5"/>
        <v>0.90224719101123585</v>
      </c>
      <c r="F78" s="9"/>
      <c r="G78" s="9"/>
    </row>
    <row r="79" spans="1:8">
      <c r="A79" s="14">
        <v>1981</v>
      </c>
      <c r="B79" s="9"/>
      <c r="C79" s="9"/>
      <c r="D79" s="9">
        <f t="shared" ref="D79" si="6">D14/D44</f>
        <v>0.98942917547568698</v>
      </c>
      <c r="E79" s="9"/>
      <c r="F79" s="9"/>
      <c r="G79" s="9"/>
    </row>
    <row r="80" spans="1:8">
      <c r="A80" s="14">
        <v>1982</v>
      </c>
      <c r="B80" s="9"/>
      <c r="C80" s="9">
        <f t="shared" ref="C80:E80" si="7">C15/C45</f>
        <v>0.68219944082013051</v>
      </c>
      <c r="D80" s="9"/>
      <c r="E80" s="9">
        <f t="shared" si="7"/>
        <v>0.82808988764044944</v>
      </c>
      <c r="F80" s="9"/>
      <c r="G80" s="9"/>
    </row>
    <row r="81" spans="1:8">
      <c r="A81" s="14">
        <v>1983</v>
      </c>
      <c r="B81" s="9">
        <f t="shared" ref="B81:G81" si="8">B16/B46</f>
        <v>0.83972468043264492</v>
      </c>
      <c r="C81" s="9"/>
      <c r="D81" s="9">
        <f t="shared" si="8"/>
        <v>0.92573221757322166</v>
      </c>
      <c r="E81" s="9">
        <f t="shared" si="8"/>
        <v>0.81787709497206718</v>
      </c>
      <c r="F81" s="9"/>
      <c r="G81" s="9">
        <f t="shared" si="8"/>
        <v>0.87759562841530048</v>
      </c>
    </row>
    <row r="82" spans="1:8">
      <c r="A82" s="14">
        <v>1984</v>
      </c>
      <c r="B82" s="9"/>
      <c r="C82" s="9"/>
      <c r="D82" s="9">
        <f t="shared" ref="D82:G82" si="9">D17/D47</f>
        <v>0.91243243243243233</v>
      </c>
      <c r="E82" s="9">
        <f t="shared" si="9"/>
        <v>0.78192090395480229</v>
      </c>
      <c r="F82" s="9"/>
      <c r="G82" s="9">
        <f t="shared" si="9"/>
        <v>0.88242142025611181</v>
      </c>
    </row>
    <row r="83" spans="1:8">
      <c r="A83" s="14">
        <v>1985</v>
      </c>
      <c r="B83" s="9">
        <f t="shared" ref="B83" si="10">B18/B48</f>
        <v>0.84387351778656128</v>
      </c>
      <c r="C83" s="9"/>
      <c r="D83" s="9"/>
      <c r="E83" s="9"/>
      <c r="F83" s="9"/>
      <c r="G83" s="9"/>
    </row>
    <row r="84" spans="1:8">
      <c r="A84" s="14">
        <v>1986</v>
      </c>
      <c r="B84" s="9"/>
      <c r="C84" s="9"/>
      <c r="D84" s="9">
        <f t="shared" ref="D84" si="11">D19/D49</f>
        <v>0.9653631284916202</v>
      </c>
      <c r="E84" s="9"/>
      <c r="F84" s="9"/>
      <c r="G84" s="9"/>
    </row>
    <row r="85" spans="1:8">
      <c r="A85" s="14">
        <v>1987</v>
      </c>
      <c r="B85" s="9">
        <f t="shared" ref="B85:F85" si="12">B20/B50</f>
        <v>0.83995922528032618</v>
      </c>
      <c r="C85" s="9"/>
      <c r="D85" s="9"/>
      <c r="E85" s="9"/>
      <c r="F85" s="9">
        <f t="shared" si="12"/>
        <v>0.86628571428571433</v>
      </c>
      <c r="G85" s="9"/>
    </row>
    <row r="86" spans="1:8">
      <c r="A86" s="14">
        <v>1988</v>
      </c>
      <c r="B86" s="9"/>
      <c r="C86" s="9">
        <f t="shared" ref="C86:E86" si="13">C21/C51</f>
        <v>0.62720156555772988</v>
      </c>
      <c r="D86" s="9">
        <f t="shared" si="13"/>
        <v>0.90113636363636351</v>
      </c>
      <c r="E86" s="9">
        <f t="shared" si="13"/>
        <v>0.79999999999999993</v>
      </c>
      <c r="F86" s="9"/>
      <c r="G86" s="9"/>
    </row>
    <row r="87" spans="1:8">
      <c r="A87" s="14">
        <v>1989</v>
      </c>
      <c r="B87" s="9">
        <f t="shared" ref="B87:G87" si="14">B22/B52</f>
        <v>0.86853002070393381</v>
      </c>
      <c r="C87" s="9"/>
      <c r="D87" s="9"/>
      <c r="E87" s="9"/>
      <c r="F87" s="9">
        <f t="shared" si="14"/>
        <v>0.92685851318944856</v>
      </c>
      <c r="G87" s="9">
        <f t="shared" si="14"/>
        <v>0.91677175283732659</v>
      </c>
    </row>
    <row r="88" spans="1:8">
      <c r="A88" s="14">
        <v>1990</v>
      </c>
      <c r="B88" s="9"/>
      <c r="C88" s="9">
        <f t="shared" ref="C88:D88" si="15">C23/C53</f>
        <v>0.66633565044687182</v>
      </c>
      <c r="D88" s="9">
        <f t="shared" si="15"/>
        <v>0.91782407407407396</v>
      </c>
      <c r="E88" s="9"/>
      <c r="F88" s="9"/>
      <c r="G88" s="9"/>
    </row>
    <row r="89" spans="1:8">
      <c r="A89" s="14">
        <v>1991</v>
      </c>
      <c r="B89" s="9">
        <f t="shared" ref="B89:G89" si="16">B24/B54</f>
        <v>0.87697160883280756</v>
      </c>
      <c r="C89" s="9"/>
      <c r="D89" s="9"/>
      <c r="E89" s="9"/>
      <c r="F89" s="9"/>
      <c r="G89" s="9">
        <f t="shared" si="16"/>
        <v>0.90989847715736039</v>
      </c>
    </row>
    <row r="90" spans="1:8">
      <c r="A90" s="14">
        <v>1992</v>
      </c>
      <c r="B90" s="9"/>
      <c r="C90" s="9"/>
      <c r="D90" s="9">
        <f t="shared" ref="D90" si="17">D25/D55</f>
        <v>0.99404052443384971</v>
      </c>
      <c r="E90" s="9"/>
      <c r="F90" s="9"/>
      <c r="G90" s="9"/>
    </row>
    <row r="91" spans="1:8">
      <c r="A91" s="14">
        <v>1993</v>
      </c>
      <c r="B91" s="9">
        <f t="shared" ref="B91:G91" si="18">B26/B56</f>
        <v>0.89636752136752151</v>
      </c>
      <c r="C91" s="9">
        <f t="shared" si="18"/>
        <v>0.71049949031600401</v>
      </c>
      <c r="D91" s="9">
        <f t="shared" si="18"/>
        <v>0.94451145958986737</v>
      </c>
      <c r="E91" s="9"/>
      <c r="F91" s="9"/>
      <c r="G91" s="9">
        <f t="shared" si="18"/>
        <v>0.94626474442988207</v>
      </c>
    </row>
    <row r="92" spans="1:8">
      <c r="A92" s="14">
        <v>1994</v>
      </c>
      <c r="B92" s="9">
        <f t="shared" ref="B92:G92" si="19">B27/B57</f>
        <v>0.90223166843783209</v>
      </c>
      <c r="C92" s="9"/>
      <c r="D92" s="9"/>
      <c r="E92" s="9"/>
      <c r="F92" s="9"/>
      <c r="G92" s="9">
        <f t="shared" si="19"/>
        <v>0.95342820181112542</v>
      </c>
    </row>
    <row r="93" spans="1:8">
      <c r="A93" s="14">
        <v>1995</v>
      </c>
      <c r="B93" s="9"/>
      <c r="C93" s="9"/>
      <c r="D93" s="9">
        <f t="shared" ref="D93" si="20">D28/D58</f>
        <v>0.99262899262899262</v>
      </c>
      <c r="E93" s="9"/>
      <c r="F93" s="9"/>
      <c r="G93" s="9"/>
    </row>
    <row r="94" spans="1:8">
      <c r="A94" t="s">
        <v>560</v>
      </c>
      <c r="B94" s="9">
        <f>AVERAGE(B73:B93)</f>
        <v>0.8709169834166498</v>
      </c>
      <c r="C94" s="9">
        <f t="shared" ref="C94:G94" si="21">AVERAGE(C73:C93)</f>
        <v>0.67686296593317929</v>
      </c>
      <c r="D94" s="9">
        <f t="shared" si="21"/>
        <v>0.96007254869801761</v>
      </c>
      <c r="E94" s="9">
        <f t="shared" si="21"/>
        <v>0.868744808375152</v>
      </c>
      <c r="F94" s="9">
        <f t="shared" si="21"/>
        <v>0.93475177952875799</v>
      </c>
      <c r="G94" s="9">
        <f t="shared" si="21"/>
        <v>0.91692755664696235</v>
      </c>
      <c r="H94" s="267">
        <f>AVERAGE(B94:G94)</f>
        <v>0.87137944043311988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rgb="FF92D050"/>
  </sheetPr>
  <dimension ref="A1:T25"/>
  <sheetViews>
    <sheetView topLeftCell="E46" zoomScaleNormal="100" workbookViewId="0">
      <selection activeCell="M63" sqref="M63"/>
    </sheetView>
  </sheetViews>
  <sheetFormatPr defaultRowHeight="14.4"/>
  <cols>
    <col min="2" max="2" width="7.109375" customWidth="1"/>
    <col min="3" max="3" width="7.33203125" customWidth="1"/>
    <col min="4" max="4" width="8.5546875" customWidth="1"/>
    <col min="5" max="5" width="7" customWidth="1"/>
    <col min="6" max="6" width="7.6640625" customWidth="1"/>
    <col min="7" max="7" width="6" customWidth="1"/>
    <col min="8" max="8" width="5.88671875" customWidth="1"/>
    <col min="9" max="9" width="6.6640625" customWidth="1"/>
    <col min="10" max="10" width="5.6640625" customWidth="1"/>
    <col min="12" max="12" width="7.33203125" customWidth="1"/>
    <col min="13" max="13" width="6.33203125" customWidth="1"/>
    <col min="14" max="14" width="8" customWidth="1"/>
    <col min="20" max="20" width="11.5546875" customWidth="1"/>
  </cols>
  <sheetData>
    <row r="1" spans="1:20">
      <c r="A1" t="s">
        <v>34</v>
      </c>
    </row>
    <row r="4" spans="1:20">
      <c r="F4" s="8" t="s">
        <v>66</v>
      </c>
      <c r="G4" s="8"/>
      <c r="H4" s="8"/>
      <c r="I4" s="8"/>
      <c r="J4" s="8"/>
      <c r="K4" s="8"/>
      <c r="L4" s="8"/>
      <c r="M4" s="8"/>
      <c r="N4" s="8"/>
    </row>
    <row r="6" spans="1:20" s="13" customFormat="1">
      <c r="B6" s="13" t="s">
        <v>51</v>
      </c>
      <c r="C6" s="13" t="s">
        <v>52</v>
      </c>
      <c r="D6" s="13" t="s">
        <v>53</v>
      </c>
      <c r="E6" s="13" t="s">
        <v>49</v>
      </c>
      <c r="F6" s="13" t="s">
        <v>54</v>
      </c>
      <c r="G6" s="13" t="s">
        <v>55</v>
      </c>
      <c r="H6" s="13" t="s">
        <v>41</v>
      </c>
      <c r="I6" s="13" t="s">
        <v>56</v>
      </c>
      <c r="J6" s="13" t="s">
        <v>42</v>
      </c>
      <c r="K6" s="13" t="s">
        <v>57</v>
      </c>
      <c r="L6" s="13" t="s">
        <v>58</v>
      </c>
      <c r="M6" s="13" t="s">
        <v>59</v>
      </c>
      <c r="N6" s="13" t="s">
        <v>60</v>
      </c>
      <c r="O6" s="13" t="s">
        <v>61</v>
      </c>
      <c r="P6" s="13" t="s">
        <v>62</v>
      </c>
      <c r="Q6" s="13" t="s">
        <v>63</v>
      </c>
      <c r="R6" s="13" t="s">
        <v>64</v>
      </c>
      <c r="S6" s="13" t="s">
        <v>45</v>
      </c>
      <c r="T6" s="13" t="s">
        <v>65</v>
      </c>
    </row>
    <row r="7" spans="1:20">
      <c r="A7" s="14">
        <v>2005</v>
      </c>
      <c r="B7">
        <v>12.05</v>
      </c>
      <c r="C7">
        <v>10.75</v>
      </c>
      <c r="E7">
        <v>10.92</v>
      </c>
      <c r="F7">
        <v>8.82</v>
      </c>
      <c r="G7">
        <v>7.97</v>
      </c>
      <c r="H7">
        <v>6.49</v>
      </c>
      <c r="I7">
        <v>5.21</v>
      </c>
      <c r="J7">
        <v>6.95</v>
      </c>
      <c r="M7">
        <v>7.7</v>
      </c>
      <c r="O7">
        <v>6.95</v>
      </c>
      <c r="R7">
        <v>7.57</v>
      </c>
    </row>
    <row r="8" spans="1:20">
      <c r="A8" s="14">
        <v>2006</v>
      </c>
      <c r="E8">
        <v>10.69</v>
      </c>
      <c r="H8">
        <v>6.43</v>
      </c>
      <c r="J8">
        <v>6.85</v>
      </c>
      <c r="K8">
        <v>6.52</v>
      </c>
      <c r="S8">
        <v>8.1300000000000008</v>
      </c>
    </row>
    <row r="9" spans="1:20">
      <c r="A9" s="14">
        <v>2007</v>
      </c>
      <c r="E9">
        <v>10.39</v>
      </c>
      <c r="H9">
        <v>6.36</v>
      </c>
      <c r="J9">
        <v>6.82</v>
      </c>
      <c r="P9">
        <v>6.79</v>
      </c>
    </row>
    <row r="10" spans="1:20">
      <c r="A10" s="14">
        <v>2008</v>
      </c>
      <c r="B10">
        <v>12.18</v>
      </c>
      <c r="C10">
        <v>10.85</v>
      </c>
      <c r="D10">
        <v>11.77</v>
      </c>
      <c r="E10">
        <v>10.23</v>
      </c>
      <c r="F10">
        <v>8.75</v>
      </c>
      <c r="G10">
        <v>7.41</v>
      </c>
      <c r="H10">
        <v>6.1</v>
      </c>
      <c r="I10">
        <v>5.28</v>
      </c>
      <c r="J10">
        <v>6.56</v>
      </c>
      <c r="K10">
        <v>6.39</v>
      </c>
      <c r="L10">
        <v>8.36</v>
      </c>
      <c r="M10">
        <v>7.7</v>
      </c>
      <c r="O10">
        <v>6.95</v>
      </c>
      <c r="S10">
        <v>8.0299999999999994</v>
      </c>
    </row>
    <row r="11" spans="1:20">
      <c r="A11" s="14">
        <v>2009</v>
      </c>
      <c r="E11">
        <v>9.44</v>
      </c>
      <c r="H11">
        <v>5.7</v>
      </c>
      <c r="J11">
        <v>6.23</v>
      </c>
      <c r="K11">
        <v>6.39</v>
      </c>
      <c r="N11">
        <v>4.9800000000000004</v>
      </c>
      <c r="O11">
        <v>6.89</v>
      </c>
    </row>
    <row r="12" spans="1:20">
      <c r="A12" s="14">
        <v>2010</v>
      </c>
      <c r="B12">
        <v>12.15</v>
      </c>
      <c r="E12">
        <v>9.44</v>
      </c>
      <c r="F12">
        <v>8.36</v>
      </c>
      <c r="G12">
        <v>7.02</v>
      </c>
      <c r="I12">
        <v>5.21</v>
      </c>
      <c r="J12">
        <v>6.16</v>
      </c>
      <c r="K12">
        <v>6.16</v>
      </c>
      <c r="L12">
        <v>8</v>
      </c>
      <c r="M12">
        <v>7.41</v>
      </c>
      <c r="O12">
        <v>6.79</v>
      </c>
      <c r="P12">
        <v>7.31</v>
      </c>
      <c r="S12">
        <v>7.84</v>
      </c>
    </row>
    <row r="13" spans="1:20">
      <c r="A13" s="14">
        <v>2011</v>
      </c>
      <c r="C13">
        <v>11.18</v>
      </c>
      <c r="K13">
        <v>6</v>
      </c>
      <c r="M13">
        <v>7.64</v>
      </c>
      <c r="O13">
        <v>6.75</v>
      </c>
    </row>
    <row r="14" spans="1:20">
      <c r="A14" s="14">
        <v>2012</v>
      </c>
      <c r="B14">
        <v>11.09</v>
      </c>
      <c r="D14">
        <v>11.64</v>
      </c>
      <c r="I14">
        <v>5.05</v>
      </c>
      <c r="K14">
        <v>6.13</v>
      </c>
      <c r="L14">
        <v>8.49</v>
      </c>
      <c r="M14">
        <v>7.7</v>
      </c>
      <c r="N14">
        <v>4.6900000000000004</v>
      </c>
      <c r="O14">
        <v>6.66</v>
      </c>
      <c r="P14">
        <v>7.34</v>
      </c>
      <c r="S14">
        <v>7.54</v>
      </c>
    </row>
    <row r="15" spans="1:20">
      <c r="A15" s="14">
        <v>2013</v>
      </c>
      <c r="N15">
        <v>4.6900000000000004</v>
      </c>
      <c r="O15">
        <v>6.66</v>
      </c>
      <c r="Q15">
        <v>7.9</v>
      </c>
      <c r="R15">
        <v>7.05</v>
      </c>
      <c r="T15">
        <v>8.1300000000000008</v>
      </c>
    </row>
    <row r="16" spans="1:20">
      <c r="A16" s="14">
        <v>2014</v>
      </c>
      <c r="C16">
        <v>11.93</v>
      </c>
      <c r="T16">
        <v>8.49</v>
      </c>
    </row>
    <row r="17" spans="1:19">
      <c r="A17" s="14">
        <v>2015</v>
      </c>
      <c r="H17">
        <v>5.41</v>
      </c>
      <c r="J17">
        <v>5.64</v>
      </c>
      <c r="S17">
        <v>7.18</v>
      </c>
    </row>
    <row r="20" spans="1:19">
      <c r="B20" s="10"/>
    </row>
    <row r="21" spans="1:19">
      <c r="B21" s="10"/>
    </row>
    <row r="22" spans="1:19">
      <c r="B22" s="10"/>
    </row>
    <row r="23" spans="1:19">
      <c r="B23" s="10"/>
    </row>
    <row r="24" spans="1:19">
      <c r="B24" s="10"/>
    </row>
    <row r="25" spans="1:19">
      <c r="B25" s="10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P24"/>
  <sheetViews>
    <sheetView zoomScale="90" zoomScaleNormal="90" workbookViewId="0">
      <selection activeCell="E25" sqref="E25"/>
    </sheetView>
  </sheetViews>
  <sheetFormatPr defaultRowHeight="14.4"/>
  <cols>
    <col min="1" max="1" width="12.44140625" bestFit="1" customWidth="1"/>
    <col min="2" max="2" width="11.6640625" bestFit="1" customWidth="1"/>
    <col min="3" max="3" width="10.109375" bestFit="1" customWidth="1"/>
    <col min="4" max="4" width="8.109375" bestFit="1" customWidth="1"/>
    <col min="5" max="5" width="26.44140625" bestFit="1" customWidth="1"/>
    <col min="6" max="6" width="12.5546875" customWidth="1"/>
    <col min="7" max="7" width="11.44140625" customWidth="1"/>
  </cols>
  <sheetData>
    <row r="1" spans="1:68" s="1" customFormat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>
        <v>1960</v>
      </c>
      <c r="I1" s="1">
        <v>1961</v>
      </c>
      <c r="J1" s="1">
        <v>1962</v>
      </c>
      <c r="K1" s="1">
        <v>1963</v>
      </c>
      <c r="L1" s="1">
        <v>1964</v>
      </c>
      <c r="M1" s="1">
        <v>1965</v>
      </c>
      <c r="N1" s="1">
        <v>1966</v>
      </c>
      <c r="O1" s="1">
        <v>1967</v>
      </c>
      <c r="P1" s="1">
        <v>1968</v>
      </c>
      <c r="Q1" s="1">
        <v>1969</v>
      </c>
      <c r="R1" s="1">
        <v>1970</v>
      </c>
      <c r="S1" s="1">
        <v>1971</v>
      </c>
      <c r="T1" s="1">
        <v>1972</v>
      </c>
      <c r="U1" s="1">
        <v>1973</v>
      </c>
      <c r="V1" s="1">
        <v>1974</v>
      </c>
      <c r="W1" s="1">
        <v>1975</v>
      </c>
      <c r="X1" s="1">
        <v>1976</v>
      </c>
      <c r="Y1" s="1">
        <v>1977</v>
      </c>
      <c r="Z1" s="1">
        <v>1978</v>
      </c>
      <c r="AA1" s="1">
        <v>1979</v>
      </c>
      <c r="AB1" s="1">
        <v>1980</v>
      </c>
      <c r="AC1" s="1">
        <v>1981</v>
      </c>
      <c r="AD1" s="1">
        <v>1982</v>
      </c>
      <c r="AE1" s="1">
        <v>1983</v>
      </c>
      <c r="AF1" s="1">
        <v>1984</v>
      </c>
      <c r="AG1" s="1">
        <v>1985</v>
      </c>
      <c r="AH1" s="1">
        <v>1986</v>
      </c>
      <c r="AI1" s="1">
        <v>1987</v>
      </c>
      <c r="AJ1" s="1">
        <v>1988</v>
      </c>
      <c r="AK1" s="1">
        <v>1989</v>
      </c>
      <c r="AL1" s="1">
        <v>1990</v>
      </c>
      <c r="AM1" s="1">
        <v>1991</v>
      </c>
      <c r="AN1" s="1">
        <v>1992</v>
      </c>
      <c r="AO1" s="1">
        <v>1993</v>
      </c>
      <c r="AP1" s="1">
        <v>1994</v>
      </c>
      <c r="AQ1" s="1">
        <v>1995</v>
      </c>
      <c r="AR1" s="1">
        <v>1996</v>
      </c>
      <c r="AS1" s="1">
        <v>1997</v>
      </c>
      <c r="AT1" s="1">
        <v>1998</v>
      </c>
      <c r="AU1" s="1">
        <v>1999</v>
      </c>
      <c r="AV1" s="1">
        <v>2000</v>
      </c>
      <c r="AW1" s="1">
        <v>2001</v>
      </c>
      <c r="AX1" s="1">
        <v>2002</v>
      </c>
      <c r="AY1" s="1">
        <v>2003</v>
      </c>
      <c r="AZ1" s="1">
        <v>2004</v>
      </c>
      <c r="BA1" s="1">
        <v>2005</v>
      </c>
      <c r="BB1" s="1">
        <v>2006</v>
      </c>
      <c r="BC1" s="1">
        <v>2007</v>
      </c>
      <c r="BD1" s="1">
        <v>2008</v>
      </c>
      <c r="BE1" s="1">
        <v>2009</v>
      </c>
      <c r="BF1" s="1">
        <v>2010</v>
      </c>
      <c r="BG1" s="1">
        <v>2011</v>
      </c>
      <c r="BH1" s="1">
        <v>2012</v>
      </c>
      <c r="BI1" s="1">
        <v>2013</v>
      </c>
      <c r="BJ1" s="1">
        <v>2014</v>
      </c>
      <c r="BK1" s="1">
        <v>2015</v>
      </c>
      <c r="BL1" s="1">
        <v>2016</v>
      </c>
      <c r="BM1" s="1">
        <v>2017</v>
      </c>
      <c r="BN1" s="1">
        <v>2018</v>
      </c>
      <c r="BO1" s="1">
        <v>2019</v>
      </c>
      <c r="BP1" s="1">
        <v>2020</v>
      </c>
    </row>
    <row r="2" spans="1:68" s="2" customFormat="1">
      <c r="A2" s="300" t="s">
        <v>676</v>
      </c>
      <c r="B2" s="300" t="s">
        <v>677</v>
      </c>
      <c r="C2" s="300" t="s">
        <v>678</v>
      </c>
      <c r="D2" s="300" t="s">
        <v>679</v>
      </c>
      <c r="E2" s="300" t="s">
        <v>675</v>
      </c>
      <c r="F2" s="2" t="s">
        <v>681</v>
      </c>
      <c r="G2" s="2" t="s">
        <v>680</v>
      </c>
      <c r="H2" s="3">
        <f>'1_LDV calcs'!D46</f>
        <v>0.16168854380478667</v>
      </c>
      <c r="I2" s="3">
        <f>'1_LDV calcs'!E46</f>
        <v>0.16694959671621537</v>
      </c>
      <c r="J2" s="3">
        <f>'1_LDV calcs'!F46</f>
        <v>0.16848636205385545</v>
      </c>
      <c r="K2" s="3">
        <f>'1_LDV calcs'!G46</f>
        <v>0.17083049121644989</v>
      </c>
      <c r="L2" s="3">
        <f>'1_LDV calcs'!H46</f>
        <v>0.17336772131840328</v>
      </c>
      <c r="M2" s="3">
        <f>'1_LDV calcs'!I46</f>
        <v>0.17489278969480765</v>
      </c>
      <c r="N2" s="3">
        <f>'1_LDV calcs'!J46</f>
        <v>0.17718119341637273</v>
      </c>
      <c r="O2" s="3">
        <f>'1_LDV calcs'!K46</f>
        <v>0.1754567395078919</v>
      </c>
      <c r="P2" s="3">
        <f>'1_LDV calcs'!L46</f>
        <v>0.17411532501862387</v>
      </c>
      <c r="Q2" s="3">
        <f>'1_LDV calcs'!M46</f>
        <v>0.17396190568722159</v>
      </c>
      <c r="R2" s="3">
        <f>'1_LDV calcs'!N46</f>
        <v>0.18065857256343029</v>
      </c>
      <c r="S2" s="3">
        <f>'1_LDV calcs'!O46</f>
        <v>0.1817479831158636</v>
      </c>
      <c r="T2" s="3">
        <f>'1_LDV calcs'!P46</f>
        <v>0.1807853514911037</v>
      </c>
      <c r="U2" s="3">
        <f>'1_LDV calcs'!Q46</f>
        <v>0.17920797102269526</v>
      </c>
      <c r="V2" s="3">
        <f>'1_LDV calcs'!R46</f>
        <v>0.18031214765969308</v>
      </c>
      <c r="W2" s="3">
        <f>'1_LDV calcs'!S46</f>
        <v>0.18416773957641877</v>
      </c>
      <c r="X2" s="3">
        <f>'1_LDV calcs'!T46</f>
        <v>0.18454059377796203</v>
      </c>
      <c r="Y2" s="3">
        <f>'1_LDV calcs'!U46</f>
        <v>0.18327295314586201</v>
      </c>
      <c r="Z2" s="3">
        <f>'1_LDV calcs'!V46</f>
        <v>0.18120400668932779</v>
      </c>
      <c r="AA2" s="3">
        <f>'1_LDV calcs'!W46</f>
        <v>0.17840341337260934</v>
      </c>
      <c r="AB2" s="3">
        <f>'1_LDV calcs'!X46</f>
        <v>0.18321618362946876</v>
      </c>
      <c r="AC2" s="3">
        <f>'1_LDV calcs'!Y46</f>
        <v>0.18864090421531718</v>
      </c>
      <c r="AD2" s="3">
        <f>'1_LDV calcs'!Z46</f>
        <v>0.18882481408062429</v>
      </c>
      <c r="AE2" s="3">
        <f>'1_LDV calcs'!AA46</f>
        <v>0.18832318502573347</v>
      </c>
      <c r="AF2" s="3">
        <f>'1_LDV calcs'!AB46</f>
        <v>0.19050204446897998</v>
      </c>
      <c r="AG2" s="3">
        <f>'1_LDV calcs'!AC46</f>
        <v>0.19241050117613365</v>
      </c>
      <c r="AH2" s="3">
        <f>'1_LDV calcs'!AD46</f>
        <v>0.19213097600373921</v>
      </c>
      <c r="AI2" s="3">
        <f>'1_LDV calcs'!AE46</f>
        <v>0.19644706516449509</v>
      </c>
      <c r="AJ2" s="3">
        <f>'1_LDV calcs'!AF46</f>
        <v>0.19866996664236303</v>
      </c>
      <c r="AK2" s="3">
        <f>'1_LDV calcs'!AG46</f>
        <v>0.20325116869776619</v>
      </c>
      <c r="AL2" s="3">
        <f>'1_LDV calcs'!AH46</f>
        <v>0.19966293610211847</v>
      </c>
      <c r="AM2" s="3">
        <f>'1_LDV calcs'!AI46</f>
        <v>0.19984701149579734</v>
      </c>
      <c r="AN2" s="3">
        <f>'1_LDV calcs'!AJ46</f>
        <v>0.19803273518635478</v>
      </c>
      <c r="AO2" s="3">
        <f>'1_LDV calcs'!AK46</f>
        <v>0.19649588437719021</v>
      </c>
      <c r="AP2" s="3">
        <f>'1_LDV calcs'!AL46</f>
        <v>0.19968712600737956</v>
      </c>
      <c r="AQ2" s="3">
        <f>'1_LDV calcs'!AM46</f>
        <v>0.20338821161144588</v>
      </c>
      <c r="AR2" s="3">
        <f>'1_LDV calcs'!AN46</f>
        <v>0.2012906108158557</v>
      </c>
      <c r="AS2" s="3">
        <f>'1_LDV calcs'!AO46</f>
        <v>0.20208975831505321</v>
      </c>
      <c r="AT2" s="3">
        <f>'1_LDV calcs'!AP46</f>
        <v>0.20493977531285434</v>
      </c>
      <c r="AU2" s="3">
        <f>'1_LDV calcs'!AQ46</f>
        <v>0.20506486320643127</v>
      </c>
      <c r="AV2" s="3">
        <f>'1_LDV calcs'!AR46</f>
        <v>0.20512556175113811</v>
      </c>
      <c r="AW2" s="3">
        <f>'1_LDV calcs'!AS46</f>
        <v>0.20692574955625123</v>
      </c>
      <c r="AX2" s="3">
        <f>'1_LDV calcs'!AT46</f>
        <v>0.20726844619323551</v>
      </c>
      <c r="AY2" s="3">
        <f>'1_LDV calcs'!AU46</f>
        <v>0.20877936197933189</v>
      </c>
      <c r="AZ2" s="3">
        <f>'1_LDV calcs'!AV46</f>
        <v>0.20916806545201308</v>
      </c>
      <c r="BA2" s="3">
        <f>'1_LDV calcs'!AW46</f>
        <v>0.20823093743837762</v>
      </c>
      <c r="BB2" s="3">
        <f>'1_LDV calcs'!AX46</f>
        <v>0.20996943044231131</v>
      </c>
      <c r="BC2" s="3">
        <f>'1_LDV calcs'!AY46</f>
        <v>0.20936706755055001</v>
      </c>
      <c r="BD2" s="3">
        <f>'1_LDV calcs'!AZ46</f>
        <v>0.21165023610775296</v>
      </c>
      <c r="BE2" s="3">
        <f>'1_LDV calcs'!BA46</f>
        <v>0.2148809775857288</v>
      </c>
      <c r="BF2" s="3">
        <f>'1_LDV calcs'!BB46</f>
        <v>0.21691231168580025</v>
      </c>
      <c r="BG2" s="3">
        <f>'1_LDV calcs'!BC46</f>
        <v>0.21913008488508598</v>
      </c>
      <c r="BH2" s="3">
        <f>'1_LDV calcs'!BD46</f>
        <v>0.21982187135393655</v>
      </c>
      <c r="BI2" s="3">
        <f>'1_LDV calcs'!BE46</f>
        <v>0.22227180648815145</v>
      </c>
      <c r="BJ2" s="3">
        <f>'1_LDV calcs'!BF46</f>
        <v>0.22514547896424003</v>
      </c>
      <c r="BK2" s="3">
        <f>'1_LDV calcs'!BG46</f>
        <v>0.22621662629384473</v>
      </c>
      <c r="BL2" s="3">
        <f>'1_LDV calcs'!BH46</f>
        <v>0.22709018838752776</v>
      </c>
      <c r="BM2" s="3">
        <f>'1_LDV calcs'!BI46</f>
        <v>0.22965075603088564</v>
      </c>
      <c r="BN2" s="3">
        <f>'1_LDV calcs'!BJ46</f>
        <v>0.23351879405399564</v>
      </c>
      <c r="BO2" s="3">
        <f>'1_LDV calcs'!BK46</f>
        <v>0.2358818286307974</v>
      </c>
      <c r="BP2" s="3">
        <f>'1_LDV calcs'!BL46</f>
        <v>0.23828388538820686</v>
      </c>
    </row>
    <row r="3" spans="1:68" s="2" customFormat="1">
      <c r="A3" s="299" t="s">
        <v>223</v>
      </c>
      <c r="B3" s="300" t="s">
        <v>677</v>
      </c>
      <c r="C3" s="300" t="s">
        <v>678</v>
      </c>
      <c r="D3" s="300" t="s">
        <v>679</v>
      </c>
      <c r="E3" s="300" t="s">
        <v>675</v>
      </c>
      <c r="F3" s="2" t="s">
        <v>681</v>
      </c>
      <c r="G3" s="2" t="s">
        <v>680</v>
      </c>
      <c r="H3" s="3">
        <f>'1_LDV calcs'!D47</f>
        <v>0.10331273169180127</v>
      </c>
      <c r="I3" s="3">
        <f>'1_LDV calcs'!E47</f>
        <v>0.10338527434114939</v>
      </c>
      <c r="J3" s="3">
        <f>'1_LDV calcs'!F47</f>
        <v>0.10345791768991859</v>
      </c>
      <c r="K3" s="3">
        <f>'1_LDV calcs'!G47</f>
        <v>0.10353066194477294</v>
      </c>
      <c r="L3" s="3">
        <f>'1_LDV calcs'!H47</f>
        <v>0.10360350731293171</v>
      </c>
      <c r="M3" s="3">
        <f>'1_LDV calcs'!I47</f>
        <v>0.10367645400217089</v>
      </c>
      <c r="N3" s="3">
        <f>'1_LDV calcs'!J47</f>
        <v>0.10374950222082546</v>
      </c>
      <c r="O3" s="3">
        <f>'1_LDV calcs'!K47</f>
        <v>0.10454624203266348</v>
      </c>
      <c r="P3" s="3">
        <f>'1_LDV calcs'!L47</f>
        <v>0.1037315497060201</v>
      </c>
      <c r="Q3" s="3">
        <f>'1_LDV calcs'!M47</f>
        <v>0.10280384495279234</v>
      </c>
      <c r="R3" s="3">
        <f>'1_LDV calcs'!N47</f>
        <v>0.10326392153126909</v>
      </c>
      <c r="S3" s="3">
        <f>'1_LDV calcs'!O47</f>
        <v>0.10411627358639212</v>
      </c>
      <c r="T3" s="3">
        <f>'1_LDV calcs'!P47</f>
        <v>0.10410236665859138</v>
      </c>
      <c r="U3" s="3">
        <f>'1_LDV calcs'!Q47</f>
        <v>0.10433268605546733</v>
      </c>
      <c r="V3" s="3">
        <f>'1_LDV calcs'!R47</f>
        <v>0.10686318047310799</v>
      </c>
      <c r="W3" s="3">
        <f>'1_LDV calcs'!S47</f>
        <v>0.10565949737260602</v>
      </c>
      <c r="X3" s="3">
        <f>'1_LDV calcs'!T47</f>
        <v>0.10663649911423817</v>
      </c>
      <c r="Y3" s="3">
        <f>'1_LDV calcs'!U47</f>
        <v>0.10879775962076316</v>
      </c>
      <c r="Z3" s="3">
        <f>'1_LDV calcs'!V47</f>
        <v>0.11088989530518814</v>
      </c>
      <c r="AA3" s="3">
        <f>'1_LDV calcs'!W47</f>
        <v>0.11329131301848559</v>
      </c>
      <c r="AB3" s="3">
        <f>'1_LDV calcs'!X47</f>
        <v>0.11804393227222754</v>
      </c>
      <c r="AC3" s="3">
        <f>'1_LDV calcs'!Y47</f>
        <v>0.12072108067956165</v>
      </c>
      <c r="AD3" s="3">
        <f>'1_LDV calcs'!Z47</f>
        <v>0.1262492045595055</v>
      </c>
      <c r="AE3" s="3">
        <f>'1_LDV calcs'!AA47</f>
        <v>0.12743067185512624</v>
      </c>
      <c r="AF3" s="3">
        <f>'1_LDV calcs'!AB47</f>
        <v>0.12939607551864454</v>
      </c>
      <c r="AG3" s="3">
        <f>'1_LDV calcs'!AC47</f>
        <v>0.13124122456973036</v>
      </c>
      <c r="AH3" s="3">
        <f>'1_LDV calcs'!AD47</f>
        <v>0.13215092544727181</v>
      </c>
      <c r="AI3" s="3">
        <f>'1_LDV calcs'!AE47</f>
        <v>0.13505987239530159</v>
      </c>
      <c r="AJ3" s="3">
        <f>'1_LDV calcs'!AF47</f>
        <v>0.13865424536997389</v>
      </c>
      <c r="AK3" s="3">
        <f>'1_LDV calcs'!AG47</f>
        <v>0.14223419841039397</v>
      </c>
      <c r="AL3" s="3">
        <f>'1_LDV calcs'!AH47</f>
        <v>0.144971341104912</v>
      </c>
      <c r="AM3" s="3">
        <f>'1_LDV calcs'!AI47</f>
        <v>0.15019917632540755</v>
      </c>
      <c r="AN3" s="3">
        <f>'1_LDV calcs'!AJ47</f>
        <v>0.15115919828066629</v>
      </c>
      <c r="AO3" s="3">
        <f>'1_LDV calcs'!AK47</f>
        <v>0.15050470416054826</v>
      </c>
      <c r="AP3" s="3">
        <f>'1_LDV calcs'!AL47</f>
        <v>0.15090540752302267</v>
      </c>
      <c r="AQ3" s="3">
        <f>'1_LDV calcs'!AM47</f>
        <v>0.15199307144179763</v>
      </c>
      <c r="AR3" s="3">
        <f>'1_LDV calcs'!AN47</f>
        <v>0.15206551892823059</v>
      </c>
      <c r="AS3" s="3">
        <f>'1_LDV calcs'!AO47</f>
        <v>0.15263116064924995</v>
      </c>
      <c r="AT3" s="3">
        <f>'1_LDV calcs'!AP47</f>
        <v>0.15291182477783313</v>
      </c>
      <c r="AU3" s="3">
        <f>'1_LDV calcs'!AQ47</f>
        <v>0.15206350110089054</v>
      </c>
      <c r="AV3" s="3">
        <f>'1_LDV calcs'!AR47</f>
        <v>0.15480269658518547</v>
      </c>
      <c r="AW3" s="3">
        <f>'1_LDV calcs'!AS47</f>
        <v>0.15620814253926738</v>
      </c>
      <c r="AX3" s="3">
        <f>'1_LDV calcs'!AT47</f>
        <v>0.1554432885513472</v>
      </c>
      <c r="AY3" s="3">
        <f>'1_LDV calcs'!AU47</f>
        <v>0.15123638611758677</v>
      </c>
      <c r="AZ3" s="3">
        <f>'1_LDV calcs'!AV47</f>
        <v>0.15229199231954726</v>
      </c>
      <c r="BA3" s="3">
        <f>'1_LDV calcs'!AW47</f>
        <v>0.1567938854638419</v>
      </c>
      <c r="BB3" s="3">
        <f>'1_LDV calcs'!AX47</f>
        <v>0.15843468414081932</v>
      </c>
      <c r="BC3" s="3">
        <f>'1_LDV calcs'!AY47</f>
        <v>0.15271429778265566</v>
      </c>
      <c r="BD3" s="3">
        <f>'1_LDV calcs'!AZ47</f>
        <v>0.1546810295991253</v>
      </c>
      <c r="BE3" s="3">
        <f>'1_LDV calcs'!BA47</f>
        <v>0.15433593805769516</v>
      </c>
      <c r="BF3" s="3">
        <f>'1_LDV calcs'!BB47</f>
        <v>0.15365009885624473</v>
      </c>
      <c r="BG3" s="3">
        <f>'1_LDV calcs'!BC47</f>
        <v>0.15554819694246846</v>
      </c>
      <c r="BH3" s="3">
        <f>'1_LDV calcs'!BD47</f>
        <v>0.15598324302473249</v>
      </c>
      <c r="BI3" s="3">
        <f>'1_LDV calcs'!BE47</f>
        <v>0.15650219010259434</v>
      </c>
      <c r="BJ3" s="3">
        <f>'1_LDV calcs'!BF47</f>
        <v>0.15540181131189321</v>
      </c>
      <c r="BK3" s="3">
        <f>'1_LDV calcs'!BG47</f>
        <v>0.15802486563926671</v>
      </c>
      <c r="BL3" s="3">
        <f>'1_LDV calcs'!BH47</f>
        <v>0.15841563768286732</v>
      </c>
      <c r="BM3" s="3">
        <f>'1_LDV calcs'!BI47</f>
        <v>0.15978742268849414</v>
      </c>
      <c r="BN3" s="3">
        <f>'1_LDV calcs'!BJ47</f>
        <v>0.16160058158344712</v>
      </c>
      <c r="BO3" s="3">
        <f>'1_LDV calcs'!BK47</f>
        <v>0.1626586150635955</v>
      </c>
      <c r="BP3" s="3">
        <f>'1_LDV calcs'!BL47</f>
        <v>0.16372995968330947</v>
      </c>
    </row>
    <row r="4" spans="1:68" s="2" customFormat="1">
      <c r="A4" s="2" t="s">
        <v>682</v>
      </c>
      <c r="B4" s="300" t="s">
        <v>677</v>
      </c>
      <c r="C4" s="300" t="s">
        <v>678</v>
      </c>
      <c r="D4" s="300" t="s">
        <v>679</v>
      </c>
      <c r="E4" s="300" t="s">
        <v>675</v>
      </c>
      <c r="F4" s="2" t="s">
        <v>681</v>
      </c>
      <c r="G4" s="2" t="s">
        <v>680</v>
      </c>
      <c r="H4" s="3">
        <f>'1_LDV calcs'!D43</f>
        <v>9.9959318487465851E-2</v>
      </c>
      <c r="I4" s="3">
        <f>'1_LDV calcs'!E43</f>
        <v>0.10072591133522096</v>
      </c>
      <c r="J4" s="3">
        <f>'1_LDV calcs'!F43</f>
        <v>0.10150421590192379</v>
      </c>
      <c r="K4" s="3">
        <f>'1_LDV calcs'!G43</f>
        <v>0.10229449874987527</v>
      </c>
      <c r="L4" s="3">
        <f>'1_LDV calcs'!H43</f>
        <v>0.10309703444240208</v>
      </c>
      <c r="M4" s="3">
        <f>'1_LDV calcs'!I43</f>
        <v>0.10391210583891844</v>
      </c>
      <c r="N4" s="3">
        <f>'1_LDV calcs'!J43</f>
        <v>0.10474000440269306</v>
      </c>
      <c r="O4" s="3">
        <f>'1_LDV calcs'!K43</f>
        <v>0.105581030521931</v>
      </c>
      <c r="P4" s="3">
        <f>'1_LDV calcs'!L43</f>
        <v>0.106435493844812</v>
      </c>
      <c r="Q4" s="3">
        <f>'1_LDV calcs'!M43</f>
        <v>0.10730371362915696</v>
      </c>
      <c r="R4" s="3">
        <f>'1_LDV calcs'!N43</f>
        <v>0.10818601910743104</v>
      </c>
      <c r="S4" s="3">
        <f>'1_LDV calcs'!O43</f>
        <v>0.10908274986782439</v>
      </c>
      <c r="T4" s="3">
        <f>'1_LDV calcs'!P43</f>
        <v>0.10999425625219014</v>
      </c>
      <c r="U4" s="3">
        <f>'1_LDV calcs'!Q43</f>
        <v>0.11092089977165714</v>
      </c>
      <c r="V4" s="3">
        <f>'1_LDV calcs'!R43</f>
        <v>0.11186305354077516</v>
      </c>
      <c r="W4" s="3">
        <f>'1_LDV calcs'!S43</f>
        <v>0.11282110273109151</v>
      </c>
      <c r="X4" s="3">
        <f>'1_LDV calcs'!T43</f>
        <v>0.11379544504510188</v>
      </c>
      <c r="Y4" s="3">
        <f>'1_LDV calcs'!U43</f>
        <v>0.11478649121156247</v>
      </c>
      <c r="Z4" s="3">
        <f>'1_LDV calcs'!V43</f>
        <v>0.11579466550319686</v>
      </c>
      <c r="AA4" s="3">
        <f>'1_LDV calcs'!W43</f>
        <v>0.11682040627787757</v>
      </c>
      <c r="AB4" s="3">
        <f>'1_LDV calcs'!X43</f>
        <v>0.11786416654441327</v>
      </c>
      <c r="AC4" s="3">
        <f>'1_LDV calcs'!Y43</f>
        <v>0.11892641455411933</v>
      </c>
      <c r="AD4" s="3">
        <f>'1_LDV calcs'!Z43</f>
        <v>0.12000763441940177</v>
      </c>
      <c r="AE4" s="3">
        <f>'1_LDV calcs'!AA43</f>
        <v>0.12110832676063525</v>
      </c>
      <c r="AF4" s="3">
        <f>'1_LDV calcs'!AB43</f>
        <v>0.12222900938266582</v>
      </c>
      <c r="AG4" s="3">
        <f>'1_LDV calcs'!AC43</f>
        <v>0.12337021798232106</v>
      </c>
      <c r="AH4" s="3">
        <f>'1_LDV calcs'!AD43</f>
        <v>0.124532506888358</v>
      </c>
      <c r="AI4" s="3">
        <f>'1_LDV calcs'!AE43</f>
        <v>0.12571644983532901</v>
      </c>
      <c r="AJ4" s="3">
        <f>'1_LDV calcs'!AF43</f>
        <v>0.12692264077288906</v>
      </c>
      <c r="AK4" s="3">
        <f>'1_LDV calcs'!AG43</f>
        <v>0.12815169471211077</v>
      </c>
      <c r="AL4" s="3">
        <f>'1_LDV calcs'!AH43</f>
        <v>0.129404248610409</v>
      </c>
      <c r="AM4" s="3">
        <f>'1_LDV calcs'!AI43</f>
        <v>0.13068096229670778</v>
      </c>
      <c r="AN4" s="3">
        <f>'1_LDV calcs'!AJ43</f>
        <v>0.13198251943850259</v>
      </c>
      <c r="AO4" s="3">
        <f>'1_LDV calcs'!AK43</f>
        <v>0.13330962855248313</v>
      </c>
      <c r="AP4" s="3">
        <f>'1_LDV calcs'!AL43</f>
        <v>0.13466302406037847</v>
      </c>
      <c r="AQ4" s="3">
        <f>'1_LDV calcs'!AM43</f>
        <v>0.13604346739166717</v>
      </c>
      <c r="AR4" s="3">
        <f>'1_LDV calcs'!AN43</f>
        <v>0.13745174813475614</v>
      </c>
      <c r="AS4" s="3">
        <f>'1_LDV calcs'!AO43</f>
        <v>0.13888868523816655</v>
      </c>
      <c r="AT4" s="3">
        <f>'1_LDV calcs'!AP43</f>
        <v>0.14035512826317034</v>
      </c>
      <c r="AU4" s="3">
        <f>'1_LDV calcs'!AQ43</f>
        <v>0.14185195868918865</v>
      </c>
      <c r="AV4" s="3">
        <f>'1_LDV calcs'!AR43</f>
        <v>0.14338009127308612</v>
      </c>
      <c r="AW4" s="3">
        <f>'1_LDV calcs'!AS43</f>
        <v>0.14494047546326316</v>
      </c>
      <c r="AX4" s="3">
        <f>'1_LDV calcs'!AT43</f>
        <v>0.14653409686915275</v>
      </c>
      <c r="AY4" s="3">
        <f>'1_LDV calcs'!AU43</f>
        <v>0.14816197878635165</v>
      </c>
      <c r="AZ4" s="3">
        <f>'1_LDV calcs'!AV43</f>
        <v>0.14982518377714696</v>
      </c>
      <c r="BA4" s="3">
        <f>'1_LDV calcs'!AW43</f>
        <v>0.15152481530561679</v>
      </c>
      <c r="BB4" s="3">
        <f>'1_LDV calcs'!AX43</f>
        <v>0.15326201942576337</v>
      </c>
      <c r="BC4" s="3">
        <f>'1_LDV calcs'!AY43</f>
        <v>0.15503798652025866</v>
      </c>
      <c r="BD4" s="3">
        <f>'1_LDV calcs'!AZ43</f>
        <v>0.15685395308630426</v>
      </c>
      <c r="BE4" s="3">
        <f>'1_LDV calcs'!BA43</f>
        <v>0.158711203563801</v>
      </c>
      <c r="BF4" s="3">
        <f>'1_LDV calcs'!BB43</f>
        <v>0.16061107219943435</v>
      </c>
      <c r="BG4" s="3">
        <f>'1_LDV calcs'!BC43</f>
        <v>0.16255494493836198</v>
      </c>
      <c r="BH4" s="3">
        <f>'1_LDV calcs'!BD43</f>
        <v>0.16454426133286668</v>
      </c>
      <c r="BI4" s="3">
        <f>'1_LDV calcs'!BE43</f>
        <v>0.16658051645453775</v>
      </c>
      <c r="BJ4" s="3">
        <f>'1_LDV calcs'!BF43</f>
        <v>0.16866526279317001</v>
      </c>
      <c r="BK4" s="3">
        <f>'1_LDV calcs'!BG43</f>
        <v>0.17080011212150287</v>
      </c>
      <c r="BL4" s="3">
        <f>'1_LDV calcs'!BH43</f>
        <v>0.17298673730003356</v>
      </c>
      <c r="BM4" s="3">
        <f>'1_LDV calcs'!BI43</f>
        <v>0.17522687399025358</v>
      </c>
      <c r="BN4" s="3">
        <f>'1_LDV calcs'!BJ43</f>
        <v>0.17752232223757958</v>
      </c>
      <c r="BO4" s="3">
        <f>'1_LDV calcs'!BK43</f>
        <v>0.17987494787673663</v>
      </c>
      <c r="BP4" s="3">
        <f>'1_LDV calcs'!BL43</f>
        <v>0.18228668370210926</v>
      </c>
    </row>
    <row r="5" spans="1:68" s="2" customFormat="1">
      <c r="A5" s="2" t="s">
        <v>659</v>
      </c>
      <c r="B5" s="300" t="s">
        <v>677</v>
      </c>
      <c r="C5" s="300" t="s">
        <v>678</v>
      </c>
      <c r="D5" s="300" t="s">
        <v>679</v>
      </c>
      <c r="E5" s="300" t="s">
        <v>675</v>
      </c>
      <c r="F5" s="2" t="s">
        <v>681</v>
      </c>
      <c r="G5" s="2" t="s">
        <v>680</v>
      </c>
      <c r="H5" s="3">
        <f>'1_LDV calcs'!D43</f>
        <v>9.9959318487465851E-2</v>
      </c>
      <c r="I5" s="3">
        <f>'1_LDV calcs'!E43</f>
        <v>0.10072591133522096</v>
      </c>
      <c r="J5" s="3">
        <f>'1_LDV calcs'!F43</f>
        <v>0.10150421590192379</v>
      </c>
      <c r="K5" s="3">
        <f>'1_LDV calcs'!G43</f>
        <v>0.10229449874987527</v>
      </c>
      <c r="L5" s="3">
        <f>'1_LDV calcs'!H43</f>
        <v>0.10309703444240208</v>
      </c>
      <c r="M5" s="3">
        <f>'1_LDV calcs'!I43</f>
        <v>0.10391210583891844</v>
      </c>
      <c r="N5" s="3">
        <f>'1_LDV calcs'!J43</f>
        <v>0.10474000440269306</v>
      </c>
      <c r="O5" s="3">
        <f>'1_LDV calcs'!K43</f>
        <v>0.105581030521931</v>
      </c>
      <c r="P5" s="3">
        <f>'1_LDV calcs'!L43</f>
        <v>0.106435493844812</v>
      </c>
      <c r="Q5" s="3">
        <f>'1_LDV calcs'!M43</f>
        <v>0.10730371362915696</v>
      </c>
      <c r="R5" s="3">
        <f>'1_LDV calcs'!N43</f>
        <v>0.10818601910743104</v>
      </c>
      <c r="S5" s="3">
        <f>'1_LDV calcs'!O43</f>
        <v>0.10908274986782439</v>
      </c>
      <c r="T5" s="3">
        <f>'1_LDV calcs'!P43</f>
        <v>0.10999425625219014</v>
      </c>
      <c r="U5" s="3">
        <f>'1_LDV calcs'!Q43</f>
        <v>0.11092089977165714</v>
      </c>
      <c r="V5" s="3">
        <f>'1_LDV calcs'!R43</f>
        <v>0.11186305354077516</v>
      </c>
      <c r="W5" s="3">
        <f>'1_LDV calcs'!S43</f>
        <v>0.11282110273109151</v>
      </c>
      <c r="X5" s="3">
        <f>'1_LDV calcs'!T43</f>
        <v>0.11379544504510188</v>
      </c>
      <c r="Y5" s="3">
        <f>'1_LDV calcs'!U43</f>
        <v>0.11478649121156247</v>
      </c>
      <c r="Z5" s="3">
        <f>'1_LDV calcs'!V43</f>
        <v>0.11579466550319686</v>
      </c>
      <c r="AA5" s="3">
        <f>'1_LDV calcs'!W43</f>
        <v>0.11682040627787757</v>
      </c>
      <c r="AB5" s="3">
        <f>'1_LDV calcs'!X43</f>
        <v>0.11786416654441327</v>
      </c>
      <c r="AC5" s="3">
        <f>'1_LDV calcs'!Y43</f>
        <v>0.11892641455411933</v>
      </c>
      <c r="AD5" s="3">
        <f>'1_LDV calcs'!Z43</f>
        <v>0.12000763441940177</v>
      </c>
      <c r="AE5" s="3">
        <f>'1_LDV calcs'!AA43</f>
        <v>0.12110832676063525</v>
      </c>
      <c r="AF5" s="3">
        <f>'1_LDV calcs'!AB43</f>
        <v>0.12222900938266582</v>
      </c>
      <c r="AG5" s="3">
        <f>'1_LDV calcs'!AC43</f>
        <v>0.12337021798232106</v>
      </c>
      <c r="AH5" s="3">
        <f>'1_LDV calcs'!AD43</f>
        <v>0.124532506888358</v>
      </c>
      <c r="AI5" s="3">
        <f>'1_LDV calcs'!AE43</f>
        <v>0.12571644983532901</v>
      </c>
      <c r="AJ5" s="3">
        <f>'1_LDV calcs'!AF43</f>
        <v>0.12692264077288906</v>
      </c>
      <c r="AK5" s="3">
        <f>'1_LDV calcs'!AG43</f>
        <v>0.12815169471211077</v>
      </c>
      <c r="AL5" s="3">
        <f>'1_LDV calcs'!AH43</f>
        <v>0.129404248610409</v>
      </c>
      <c r="AM5" s="3">
        <f>'1_LDV calcs'!AI43</f>
        <v>0.13068096229670778</v>
      </c>
      <c r="AN5" s="3">
        <f>'1_LDV calcs'!AJ43</f>
        <v>0.13198251943850259</v>
      </c>
      <c r="AO5" s="3">
        <f>'1_LDV calcs'!AK43</f>
        <v>0.13330962855248313</v>
      </c>
      <c r="AP5" s="3">
        <f>'1_LDV calcs'!AL43</f>
        <v>0.13466302406037847</v>
      </c>
      <c r="AQ5" s="3">
        <f>'1_LDV calcs'!AM43</f>
        <v>0.13604346739166717</v>
      </c>
      <c r="AR5" s="3">
        <f>'1_LDV calcs'!AN43</f>
        <v>0.13745174813475614</v>
      </c>
      <c r="AS5" s="3">
        <f>'1_LDV calcs'!AO43</f>
        <v>0.13888868523816655</v>
      </c>
      <c r="AT5" s="3">
        <f>'1_LDV calcs'!AP43</f>
        <v>0.14035512826317034</v>
      </c>
      <c r="AU5" s="3">
        <f>'1_LDV calcs'!AQ43</f>
        <v>0.14185195868918865</v>
      </c>
      <c r="AV5" s="3">
        <f>'1_LDV calcs'!AR43</f>
        <v>0.14338009127308612</v>
      </c>
      <c r="AW5" s="3">
        <f>'1_LDV calcs'!AS43</f>
        <v>0.14494047546326316</v>
      </c>
      <c r="AX5" s="3">
        <f>'1_LDV calcs'!AT43</f>
        <v>0.14653409686915275</v>
      </c>
      <c r="AY5" s="3">
        <f>'1_LDV calcs'!AU43</f>
        <v>0.14816197878635165</v>
      </c>
      <c r="AZ5" s="3">
        <f>'1_LDV calcs'!AV43</f>
        <v>0.14982518377714696</v>
      </c>
      <c r="BA5" s="3">
        <f>'1_LDV calcs'!AW43</f>
        <v>0.15152481530561679</v>
      </c>
      <c r="BB5" s="3">
        <f>'1_LDV calcs'!AX43</f>
        <v>0.15326201942576337</v>
      </c>
      <c r="BC5" s="3">
        <f>'1_LDV calcs'!AY43</f>
        <v>0.15503798652025866</v>
      </c>
      <c r="BD5" s="3">
        <f>'1_LDV calcs'!AZ43</f>
        <v>0.15685395308630426</v>
      </c>
      <c r="BE5" s="3">
        <f>'1_LDV calcs'!BA43</f>
        <v>0.158711203563801</v>
      </c>
      <c r="BF5" s="3">
        <f>'1_LDV calcs'!BB43</f>
        <v>0.16061107219943435</v>
      </c>
      <c r="BG5" s="3">
        <f>'1_LDV calcs'!BC43</f>
        <v>0.16255494493836198</v>
      </c>
      <c r="BH5" s="3">
        <f>'1_LDV calcs'!BD43</f>
        <v>0.16454426133286668</v>
      </c>
      <c r="BI5" s="3">
        <f>'1_LDV calcs'!BE43</f>
        <v>0.16658051645453775</v>
      </c>
      <c r="BJ5" s="3">
        <f>'1_LDV calcs'!BF43</f>
        <v>0.16866526279317001</v>
      </c>
      <c r="BK5" s="3">
        <f>'1_LDV calcs'!BG43</f>
        <v>0.17080011212150287</v>
      </c>
      <c r="BL5" s="3">
        <f>'1_LDV calcs'!BH43</f>
        <v>0.17298673730003356</v>
      </c>
      <c r="BM5" s="3">
        <f>'1_LDV calcs'!BI43</f>
        <v>0.17522687399025358</v>
      </c>
      <c r="BN5" s="3">
        <f>'1_LDV calcs'!BJ43</f>
        <v>0.17752232223757958</v>
      </c>
      <c r="BO5" s="3">
        <f>'1_LDV calcs'!BK43</f>
        <v>0.17987494787673663</v>
      </c>
      <c r="BP5" s="3">
        <f>'1_LDV calcs'!BL43</f>
        <v>0.18228668370210926</v>
      </c>
    </row>
    <row r="6" spans="1:68" s="2" customFormat="1">
      <c r="A6" s="2" t="s">
        <v>660</v>
      </c>
      <c r="B6" s="300" t="s">
        <v>677</v>
      </c>
      <c r="C6" s="300" t="s">
        <v>678</v>
      </c>
      <c r="D6" s="300" t="s">
        <v>679</v>
      </c>
      <c r="E6" s="300" t="s">
        <v>675</v>
      </c>
      <c r="F6" s="2" t="s">
        <v>681</v>
      </c>
      <c r="G6" s="2" t="s">
        <v>680</v>
      </c>
      <c r="H6" s="3">
        <f>'1_LDV calcs'!D43</f>
        <v>9.9959318487465851E-2</v>
      </c>
      <c r="I6" s="3">
        <f>'1_LDV calcs'!E43</f>
        <v>0.10072591133522096</v>
      </c>
      <c r="J6" s="3">
        <f>'1_LDV calcs'!F43</f>
        <v>0.10150421590192379</v>
      </c>
      <c r="K6" s="3">
        <f>'1_LDV calcs'!G43</f>
        <v>0.10229449874987527</v>
      </c>
      <c r="L6" s="3">
        <f>'1_LDV calcs'!H43</f>
        <v>0.10309703444240208</v>
      </c>
      <c r="M6" s="3">
        <f>'1_LDV calcs'!I43</f>
        <v>0.10391210583891844</v>
      </c>
      <c r="N6" s="3">
        <f>'1_LDV calcs'!J43</f>
        <v>0.10474000440269306</v>
      </c>
      <c r="O6" s="3">
        <f>'1_LDV calcs'!K43</f>
        <v>0.105581030521931</v>
      </c>
      <c r="P6" s="3">
        <f>'1_LDV calcs'!L43</f>
        <v>0.106435493844812</v>
      </c>
      <c r="Q6" s="3">
        <f>'1_LDV calcs'!M43</f>
        <v>0.10730371362915696</v>
      </c>
      <c r="R6" s="3">
        <f>'1_LDV calcs'!N43</f>
        <v>0.10818601910743104</v>
      </c>
      <c r="S6" s="3">
        <f>'1_LDV calcs'!O43</f>
        <v>0.10908274986782439</v>
      </c>
      <c r="T6" s="3">
        <f>'1_LDV calcs'!P43</f>
        <v>0.10999425625219014</v>
      </c>
      <c r="U6" s="3">
        <f>'1_LDV calcs'!Q43</f>
        <v>0.11092089977165714</v>
      </c>
      <c r="V6" s="3">
        <f>'1_LDV calcs'!R43</f>
        <v>0.11186305354077516</v>
      </c>
      <c r="W6" s="3">
        <f>'1_LDV calcs'!S43</f>
        <v>0.11282110273109151</v>
      </c>
      <c r="X6" s="3">
        <f>'1_LDV calcs'!T43</f>
        <v>0.11379544504510188</v>
      </c>
      <c r="Y6" s="3">
        <f>'1_LDV calcs'!U43</f>
        <v>0.11478649121156247</v>
      </c>
      <c r="Z6" s="3">
        <f>'1_LDV calcs'!V43</f>
        <v>0.11579466550319686</v>
      </c>
      <c r="AA6" s="3">
        <f>'1_LDV calcs'!W43</f>
        <v>0.11682040627787757</v>
      </c>
      <c r="AB6" s="3">
        <f>'1_LDV calcs'!X43</f>
        <v>0.11786416654441327</v>
      </c>
      <c r="AC6" s="3">
        <f>'1_LDV calcs'!Y43</f>
        <v>0.11892641455411933</v>
      </c>
      <c r="AD6" s="3">
        <f>'1_LDV calcs'!Z43</f>
        <v>0.12000763441940177</v>
      </c>
      <c r="AE6" s="3">
        <f>'1_LDV calcs'!AA43</f>
        <v>0.12110832676063525</v>
      </c>
      <c r="AF6" s="3">
        <f>'1_LDV calcs'!AB43</f>
        <v>0.12222900938266582</v>
      </c>
      <c r="AG6" s="3">
        <f>'1_LDV calcs'!AC43</f>
        <v>0.12337021798232106</v>
      </c>
      <c r="AH6" s="3">
        <f>'1_LDV calcs'!AD43</f>
        <v>0.124532506888358</v>
      </c>
      <c r="AI6" s="3">
        <f>'1_LDV calcs'!AE43</f>
        <v>0.12571644983532901</v>
      </c>
      <c r="AJ6" s="3">
        <f>'1_LDV calcs'!AF43</f>
        <v>0.12692264077288906</v>
      </c>
      <c r="AK6" s="3">
        <f>'1_LDV calcs'!AG43</f>
        <v>0.12815169471211077</v>
      </c>
      <c r="AL6" s="3">
        <f>'1_LDV calcs'!AH43</f>
        <v>0.129404248610409</v>
      </c>
      <c r="AM6" s="3">
        <f>'1_LDV calcs'!AI43</f>
        <v>0.13068096229670778</v>
      </c>
      <c r="AN6" s="3">
        <f>'1_LDV calcs'!AJ43</f>
        <v>0.13198251943850259</v>
      </c>
      <c r="AO6" s="3">
        <f>'1_LDV calcs'!AK43</f>
        <v>0.13330962855248313</v>
      </c>
      <c r="AP6" s="3">
        <f>'1_LDV calcs'!AL43</f>
        <v>0.13466302406037847</v>
      </c>
      <c r="AQ6" s="3">
        <f>'1_LDV calcs'!AM43</f>
        <v>0.13604346739166717</v>
      </c>
      <c r="AR6" s="3">
        <f>'1_LDV calcs'!AN43</f>
        <v>0.13745174813475614</v>
      </c>
      <c r="AS6" s="3">
        <f>'1_LDV calcs'!AO43</f>
        <v>0.13888868523816655</v>
      </c>
      <c r="AT6" s="3">
        <f>'1_LDV calcs'!AP43</f>
        <v>0.14035512826317034</v>
      </c>
      <c r="AU6" s="3">
        <f>'1_LDV calcs'!AQ43</f>
        <v>0.14185195868918865</v>
      </c>
      <c r="AV6" s="3">
        <f>'1_LDV calcs'!AR43</f>
        <v>0.14338009127308612</v>
      </c>
      <c r="AW6" s="3">
        <f>'1_LDV calcs'!AS43</f>
        <v>0.14494047546326316</v>
      </c>
      <c r="AX6" s="3">
        <f>'1_LDV calcs'!AT43</f>
        <v>0.14653409686915275</v>
      </c>
      <c r="AY6" s="3">
        <f>'1_LDV calcs'!AU43</f>
        <v>0.14816197878635165</v>
      </c>
      <c r="AZ6" s="3">
        <f>'1_LDV calcs'!AV43</f>
        <v>0.14982518377714696</v>
      </c>
      <c r="BA6" s="3">
        <f>'1_LDV calcs'!AW43</f>
        <v>0.15152481530561679</v>
      </c>
      <c r="BB6" s="3">
        <f>'1_LDV calcs'!AX43</f>
        <v>0.15326201942576337</v>
      </c>
      <c r="BC6" s="3">
        <f>'1_LDV calcs'!AY43</f>
        <v>0.15503798652025866</v>
      </c>
      <c r="BD6" s="3">
        <f>'1_LDV calcs'!AZ43</f>
        <v>0.15685395308630426</v>
      </c>
      <c r="BE6" s="3">
        <f>'1_LDV calcs'!BA43</f>
        <v>0.158711203563801</v>
      </c>
      <c r="BF6" s="3">
        <f>'1_LDV calcs'!BB43</f>
        <v>0.16061107219943435</v>
      </c>
      <c r="BG6" s="3">
        <f>'1_LDV calcs'!BC43</f>
        <v>0.16255494493836198</v>
      </c>
      <c r="BH6" s="3">
        <f>'1_LDV calcs'!BD43</f>
        <v>0.16454426133286668</v>
      </c>
      <c r="BI6" s="3">
        <f>'1_LDV calcs'!BE43</f>
        <v>0.16658051645453775</v>
      </c>
      <c r="BJ6" s="3">
        <f>'1_LDV calcs'!BF43</f>
        <v>0.16866526279317001</v>
      </c>
      <c r="BK6" s="3">
        <f>'1_LDV calcs'!BG43</f>
        <v>0.17080011212150287</v>
      </c>
      <c r="BL6" s="3">
        <f>'1_LDV calcs'!BH43</f>
        <v>0.17298673730003356</v>
      </c>
      <c r="BM6" s="3">
        <f>'1_LDV calcs'!BI43</f>
        <v>0.17522687399025358</v>
      </c>
      <c r="BN6" s="3">
        <f>'1_LDV calcs'!BJ43</f>
        <v>0.17752232223757958</v>
      </c>
      <c r="BO6" s="3">
        <f>'1_LDV calcs'!BK43</f>
        <v>0.17987494787673663</v>
      </c>
      <c r="BP6" s="3">
        <f>'1_LDV calcs'!BL43</f>
        <v>0.18228668370210926</v>
      </c>
    </row>
    <row r="7" spans="1:68" s="2" customFormat="1">
      <c r="A7" s="2" t="s">
        <v>661</v>
      </c>
      <c r="B7" s="300" t="s">
        <v>677</v>
      </c>
      <c r="C7" s="300" t="s">
        <v>678</v>
      </c>
      <c r="D7" s="300" t="s">
        <v>679</v>
      </c>
      <c r="E7" s="300" t="s">
        <v>675</v>
      </c>
      <c r="F7" s="2" t="s">
        <v>681</v>
      </c>
      <c r="G7" s="2" t="s">
        <v>680</v>
      </c>
      <c r="H7" s="3">
        <f>'1_LDV calcs'!D43</f>
        <v>9.9959318487465851E-2</v>
      </c>
      <c r="I7" s="3">
        <f>'1_LDV calcs'!E43</f>
        <v>0.10072591133522096</v>
      </c>
      <c r="J7" s="3">
        <f>'1_LDV calcs'!F43</f>
        <v>0.10150421590192379</v>
      </c>
      <c r="K7" s="3">
        <f>'1_LDV calcs'!G43</f>
        <v>0.10229449874987527</v>
      </c>
      <c r="L7" s="3">
        <f>'1_LDV calcs'!H43</f>
        <v>0.10309703444240208</v>
      </c>
      <c r="M7" s="3">
        <f>'1_LDV calcs'!I43</f>
        <v>0.10391210583891844</v>
      </c>
      <c r="N7" s="3">
        <f>'1_LDV calcs'!J43</f>
        <v>0.10474000440269306</v>
      </c>
      <c r="O7" s="3">
        <f>'1_LDV calcs'!K43</f>
        <v>0.105581030521931</v>
      </c>
      <c r="P7" s="3">
        <f>'1_LDV calcs'!L43</f>
        <v>0.106435493844812</v>
      </c>
      <c r="Q7" s="3">
        <f>'1_LDV calcs'!M43</f>
        <v>0.10730371362915696</v>
      </c>
      <c r="R7" s="3">
        <f>'1_LDV calcs'!N43</f>
        <v>0.10818601910743104</v>
      </c>
      <c r="S7" s="3">
        <f>'1_LDV calcs'!O43</f>
        <v>0.10908274986782439</v>
      </c>
      <c r="T7" s="3">
        <f>'1_LDV calcs'!P43</f>
        <v>0.10999425625219014</v>
      </c>
      <c r="U7" s="3">
        <f>'1_LDV calcs'!Q43</f>
        <v>0.11092089977165714</v>
      </c>
      <c r="V7" s="3">
        <f>'1_LDV calcs'!R43</f>
        <v>0.11186305354077516</v>
      </c>
      <c r="W7" s="3">
        <f>'1_LDV calcs'!S43</f>
        <v>0.11282110273109151</v>
      </c>
      <c r="X7" s="3">
        <f>'1_LDV calcs'!T43</f>
        <v>0.11379544504510188</v>
      </c>
      <c r="Y7" s="3">
        <f>'1_LDV calcs'!U43</f>
        <v>0.11478649121156247</v>
      </c>
      <c r="Z7" s="3">
        <f>'1_LDV calcs'!V43</f>
        <v>0.11579466550319686</v>
      </c>
      <c r="AA7" s="3">
        <f>'1_LDV calcs'!W43</f>
        <v>0.11682040627787757</v>
      </c>
      <c r="AB7" s="3">
        <f>'1_LDV calcs'!X43</f>
        <v>0.11786416654441327</v>
      </c>
      <c r="AC7" s="3">
        <f>'1_LDV calcs'!Y43</f>
        <v>0.11892641455411933</v>
      </c>
      <c r="AD7" s="3">
        <f>'1_LDV calcs'!Z43</f>
        <v>0.12000763441940177</v>
      </c>
      <c r="AE7" s="3">
        <f>'1_LDV calcs'!AA43</f>
        <v>0.12110832676063525</v>
      </c>
      <c r="AF7" s="3">
        <f>'1_LDV calcs'!AB43</f>
        <v>0.12222900938266582</v>
      </c>
      <c r="AG7" s="3">
        <f>'1_LDV calcs'!AC43</f>
        <v>0.12337021798232106</v>
      </c>
      <c r="AH7" s="3">
        <f>'1_LDV calcs'!AD43</f>
        <v>0.124532506888358</v>
      </c>
      <c r="AI7" s="3">
        <f>'1_LDV calcs'!AE43</f>
        <v>0.12571644983532901</v>
      </c>
      <c r="AJ7" s="3">
        <f>'1_LDV calcs'!AF43</f>
        <v>0.12692264077288906</v>
      </c>
      <c r="AK7" s="3">
        <f>'1_LDV calcs'!AG43</f>
        <v>0.12815169471211077</v>
      </c>
      <c r="AL7" s="3">
        <f>'1_LDV calcs'!AH43</f>
        <v>0.129404248610409</v>
      </c>
      <c r="AM7" s="3">
        <f>'1_LDV calcs'!AI43</f>
        <v>0.13068096229670778</v>
      </c>
      <c r="AN7" s="3">
        <f>'1_LDV calcs'!AJ43</f>
        <v>0.13198251943850259</v>
      </c>
      <c r="AO7" s="3">
        <f>'1_LDV calcs'!AK43</f>
        <v>0.13330962855248313</v>
      </c>
      <c r="AP7" s="3">
        <f>'1_LDV calcs'!AL43</f>
        <v>0.13466302406037847</v>
      </c>
      <c r="AQ7" s="3">
        <f>'1_LDV calcs'!AM43</f>
        <v>0.13604346739166717</v>
      </c>
      <c r="AR7" s="3">
        <f>'1_LDV calcs'!AN43</f>
        <v>0.13745174813475614</v>
      </c>
      <c r="AS7" s="3">
        <f>'1_LDV calcs'!AO43</f>
        <v>0.13888868523816655</v>
      </c>
      <c r="AT7" s="3">
        <f>'1_LDV calcs'!AP43</f>
        <v>0.14035512826317034</v>
      </c>
      <c r="AU7" s="3">
        <f>'1_LDV calcs'!AQ43</f>
        <v>0.14185195868918865</v>
      </c>
      <c r="AV7" s="3">
        <f>'1_LDV calcs'!AR43</f>
        <v>0.14338009127308612</v>
      </c>
      <c r="AW7" s="3">
        <f>'1_LDV calcs'!AS43</f>
        <v>0.14494047546326316</v>
      </c>
      <c r="AX7" s="3">
        <f>'1_LDV calcs'!AT43</f>
        <v>0.14653409686915275</v>
      </c>
      <c r="AY7" s="3">
        <f>'1_LDV calcs'!AU43</f>
        <v>0.14816197878635165</v>
      </c>
      <c r="AZ7" s="3">
        <f>'1_LDV calcs'!AV43</f>
        <v>0.14982518377714696</v>
      </c>
      <c r="BA7" s="3">
        <f>'1_LDV calcs'!AW43</f>
        <v>0.15152481530561679</v>
      </c>
      <c r="BB7" s="3">
        <f>'1_LDV calcs'!AX43</f>
        <v>0.15326201942576337</v>
      </c>
      <c r="BC7" s="3">
        <f>'1_LDV calcs'!AY43</f>
        <v>0.15503798652025866</v>
      </c>
      <c r="BD7" s="3">
        <f>'1_LDV calcs'!AZ43</f>
        <v>0.15685395308630426</v>
      </c>
      <c r="BE7" s="3">
        <f>'1_LDV calcs'!BA43</f>
        <v>0.158711203563801</v>
      </c>
      <c r="BF7" s="3">
        <f>'1_LDV calcs'!BB43</f>
        <v>0.16061107219943435</v>
      </c>
      <c r="BG7" s="3">
        <f>'1_LDV calcs'!BC43</f>
        <v>0.16255494493836198</v>
      </c>
      <c r="BH7" s="3">
        <f>'1_LDV calcs'!BD43</f>
        <v>0.16454426133286668</v>
      </c>
      <c r="BI7" s="3">
        <f>'1_LDV calcs'!BE43</f>
        <v>0.16658051645453775</v>
      </c>
      <c r="BJ7" s="3">
        <f>'1_LDV calcs'!BF43</f>
        <v>0.16866526279317001</v>
      </c>
      <c r="BK7" s="3">
        <f>'1_LDV calcs'!BG43</f>
        <v>0.17080011212150287</v>
      </c>
      <c r="BL7" s="3">
        <f>'1_LDV calcs'!BH43</f>
        <v>0.17298673730003356</v>
      </c>
      <c r="BM7" s="3">
        <f>'1_LDV calcs'!BI43</f>
        <v>0.17522687399025358</v>
      </c>
      <c r="BN7" s="3">
        <f>'1_LDV calcs'!BJ43</f>
        <v>0.17752232223757958</v>
      </c>
      <c r="BO7" s="3">
        <f>'1_LDV calcs'!BK43</f>
        <v>0.17987494787673663</v>
      </c>
      <c r="BP7" s="3">
        <f>'1_LDV calcs'!BL43</f>
        <v>0.18228668370210926</v>
      </c>
    </row>
    <row r="8" spans="1:68" s="2" customFormat="1">
      <c r="A8" s="2" t="s">
        <v>662</v>
      </c>
      <c r="B8" s="300" t="s">
        <v>677</v>
      </c>
      <c r="C8" s="300" t="s">
        <v>678</v>
      </c>
      <c r="D8" s="300" t="s">
        <v>679</v>
      </c>
      <c r="E8" s="300" t="s">
        <v>675</v>
      </c>
      <c r="F8" s="2" t="s">
        <v>681</v>
      </c>
      <c r="G8" s="2" t="s">
        <v>680</v>
      </c>
      <c r="H8" s="3">
        <f>'1_LDV calcs'!D43</f>
        <v>9.9959318487465851E-2</v>
      </c>
      <c r="I8" s="3">
        <f>'1_LDV calcs'!E43</f>
        <v>0.10072591133522096</v>
      </c>
      <c r="J8" s="3">
        <f>'1_LDV calcs'!F43</f>
        <v>0.10150421590192379</v>
      </c>
      <c r="K8" s="3">
        <f>'1_LDV calcs'!G43</f>
        <v>0.10229449874987527</v>
      </c>
      <c r="L8" s="3">
        <f>'1_LDV calcs'!H43</f>
        <v>0.10309703444240208</v>
      </c>
      <c r="M8" s="3">
        <f>'1_LDV calcs'!I43</f>
        <v>0.10391210583891844</v>
      </c>
      <c r="N8" s="3">
        <f>'1_LDV calcs'!J43</f>
        <v>0.10474000440269306</v>
      </c>
      <c r="O8" s="3">
        <f>'1_LDV calcs'!K43</f>
        <v>0.105581030521931</v>
      </c>
      <c r="P8" s="3">
        <f>'1_LDV calcs'!L43</f>
        <v>0.106435493844812</v>
      </c>
      <c r="Q8" s="3">
        <f>'1_LDV calcs'!M43</f>
        <v>0.10730371362915696</v>
      </c>
      <c r="R8" s="3">
        <f>'1_LDV calcs'!N43</f>
        <v>0.10818601910743104</v>
      </c>
      <c r="S8" s="3">
        <f>'1_LDV calcs'!O43</f>
        <v>0.10908274986782439</v>
      </c>
      <c r="T8" s="3">
        <f>'1_LDV calcs'!P43</f>
        <v>0.10999425625219014</v>
      </c>
      <c r="U8" s="3">
        <f>'1_LDV calcs'!Q43</f>
        <v>0.11092089977165714</v>
      </c>
      <c r="V8" s="3">
        <f>'1_LDV calcs'!R43</f>
        <v>0.11186305354077516</v>
      </c>
      <c r="W8" s="3">
        <f>'1_LDV calcs'!S43</f>
        <v>0.11282110273109151</v>
      </c>
      <c r="X8" s="3">
        <f>'1_LDV calcs'!T43</f>
        <v>0.11379544504510188</v>
      </c>
      <c r="Y8" s="3">
        <f>'1_LDV calcs'!U43</f>
        <v>0.11478649121156247</v>
      </c>
      <c r="Z8" s="3">
        <f>'1_LDV calcs'!V43</f>
        <v>0.11579466550319686</v>
      </c>
      <c r="AA8" s="3">
        <f>'1_LDV calcs'!W43</f>
        <v>0.11682040627787757</v>
      </c>
      <c r="AB8" s="3">
        <f>'1_LDV calcs'!X43</f>
        <v>0.11786416654441327</v>
      </c>
      <c r="AC8" s="3">
        <f>'1_LDV calcs'!Y43</f>
        <v>0.11892641455411933</v>
      </c>
      <c r="AD8" s="3">
        <f>'1_LDV calcs'!Z43</f>
        <v>0.12000763441940177</v>
      </c>
      <c r="AE8" s="3">
        <f>'1_LDV calcs'!AA43</f>
        <v>0.12110832676063525</v>
      </c>
      <c r="AF8" s="3">
        <f>'1_LDV calcs'!AB43</f>
        <v>0.12222900938266582</v>
      </c>
      <c r="AG8" s="3">
        <f>'1_LDV calcs'!AC43</f>
        <v>0.12337021798232106</v>
      </c>
      <c r="AH8" s="3">
        <f>'1_LDV calcs'!AD43</f>
        <v>0.124532506888358</v>
      </c>
      <c r="AI8" s="3">
        <f>'1_LDV calcs'!AE43</f>
        <v>0.12571644983532901</v>
      </c>
      <c r="AJ8" s="3">
        <f>'1_LDV calcs'!AF43</f>
        <v>0.12692264077288906</v>
      </c>
      <c r="AK8" s="3">
        <f>'1_LDV calcs'!AG43</f>
        <v>0.12815169471211077</v>
      </c>
      <c r="AL8" s="3">
        <f>'1_LDV calcs'!AH43</f>
        <v>0.129404248610409</v>
      </c>
      <c r="AM8" s="3">
        <f>'1_LDV calcs'!AI43</f>
        <v>0.13068096229670778</v>
      </c>
      <c r="AN8" s="3">
        <f>'1_LDV calcs'!AJ43</f>
        <v>0.13198251943850259</v>
      </c>
      <c r="AO8" s="3">
        <f>'1_LDV calcs'!AK43</f>
        <v>0.13330962855248313</v>
      </c>
      <c r="AP8" s="3">
        <f>'1_LDV calcs'!AL43</f>
        <v>0.13466302406037847</v>
      </c>
      <c r="AQ8" s="3">
        <f>'1_LDV calcs'!AM43</f>
        <v>0.13604346739166717</v>
      </c>
      <c r="AR8" s="3">
        <f>'1_LDV calcs'!AN43</f>
        <v>0.13745174813475614</v>
      </c>
      <c r="AS8" s="3">
        <f>'1_LDV calcs'!AO43</f>
        <v>0.13888868523816655</v>
      </c>
      <c r="AT8" s="3">
        <f>'1_LDV calcs'!AP43</f>
        <v>0.14035512826317034</v>
      </c>
      <c r="AU8" s="3">
        <f>'1_LDV calcs'!AQ43</f>
        <v>0.14185195868918865</v>
      </c>
      <c r="AV8" s="3">
        <f>'1_LDV calcs'!AR43</f>
        <v>0.14338009127308612</v>
      </c>
      <c r="AW8" s="3">
        <f>'1_LDV calcs'!AS43</f>
        <v>0.14494047546326316</v>
      </c>
      <c r="AX8" s="3">
        <f>'1_LDV calcs'!AT43</f>
        <v>0.14653409686915275</v>
      </c>
      <c r="AY8" s="3">
        <f>'1_LDV calcs'!AU43</f>
        <v>0.14816197878635165</v>
      </c>
      <c r="AZ8" s="3">
        <f>'1_LDV calcs'!AV43</f>
        <v>0.14982518377714696</v>
      </c>
      <c r="BA8" s="3">
        <f>'1_LDV calcs'!AW43</f>
        <v>0.15152481530561679</v>
      </c>
      <c r="BB8" s="3">
        <f>'1_LDV calcs'!AX43</f>
        <v>0.15326201942576337</v>
      </c>
      <c r="BC8" s="3">
        <f>'1_LDV calcs'!AY43</f>
        <v>0.15503798652025866</v>
      </c>
      <c r="BD8" s="3">
        <f>'1_LDV calcs'!AZ43</f>
        <v>0.15685395308630426</v>
      </c>
      <c r="BE8" s="3">
        <f>'1_LDV calcs'!BA43</f>
        <v>0.158711203563801</v>
      </c>
      <c r="BF8" s="3">
        <f>'1_LDV calcs'!BB43</f>
        <v>0.16061107219943435</v>
      </c>
      <c r="BG8" s="3">
        <f>'1_LDV calcs'!BC43</f>
        <v>0.16255494493836198</v>
      </c>
      <c r="BH8" s="3">
        <f>'1_LDV calcs'!BD43</f>
        <v>0.16454426133286668</v>
      </c>
      <c r="BI8" s="3">
        <f>'1_LDV calcs'!BE43</f>
        <v>0.16658051645453775</v>
      </c>
      <c r="BJ8" s="3">
        <f>'1_LDV calcs'!BF43</f>
        <v>0.16866526279317001</v>
      </c>
      <c r="BK8" s="3">
        <f>'1_LDV calcs'!BG43</f>
        <v>0.17080011212150287</v>
      </c>
      <c r="BL8" s="3">
        <f>'1_LDV calcs'!BH43</f>
        <v>0.17298673730003356</v>
      </c>
      <c r="BM8" s="3">
        <f>'1_LDV calcs'!BI43</f>
        <v>0.17522687399025358</v>
      </c>
      <c r="BN8" s="3">
        <f>'1_LDV calcs'!BJ43</f>
        <v>0.17752232223757958</v>
      </c>
      <c r="BO8" s="3">
        <f>'1_LDV calcs'!BK43</f>
        <v>0.17987494787673663</v>
      </c>
      <c r="BP8" s="3">
        <f>'1_LDV calcs'!BL43</f>
        <v>0.18228668370210926</v>
      </c>
    </row>
    <row r="9" spans="1:68" s="2" customFormat="1">
      <c r="A9" s="2" t="s">
        <v>663</v>
      </c>
      <c r="B9" s="300" t="s">
        <v>677</v>
      </c>
      <c r="C9" s="300" t="s">
        <v>678</v>
      </c>
      <c r="D9" s="300" t="s">
        <v>679</v>
      </c>
      <c r="E9" s="300" t="s">
        <v>675</v>
      </c>
      <c r="F9" s="2" t="s">
        <v>681</v>
      </c>
      <c r="G9" s="2" t="s">
        <v>680</v>
      </c>
      <c r="H9" s="3">
        <f>'1_LDV calcs'!D43</f>
        <v>9.9959318487465851E-2</v>
      </c>
      <c r="I9" s="3">
        <f>'1_LDV calcs'!E43</f>
        <v>0.10072591133522096</v>
      </c>
      <c r="J9" s="3">
        <f>'1_LDV calcs'!F43</f>
        <v>0.10150421590192379</v>
      </c>
      <c r="K9" s="3">
        <f>'1_LDV calcs'!G43</f>
        <v>0.10229449874987527</v>
      </c>
      <c r="L9" s="3">
        <f>'1_LDV calcs'!H43</f>
        <v>0.10309703444240208</v>
      </c>
      <c r="M9" s="3">
        <f>'1_LDV calcs'!I43</f>
        <v>0.10391210583891844</v>
      </c>
      <c r="N9" s="3">
        <f>'1_LDV calcs'!J43</f>
        <v>0.10474000440269306</v>
      </c>
      <c r="O9" s="3">
        <f>'1_LDV calcs'!K43</f>
        <v>0.105581030521931</v>
      </c>
      <c r="P9" s="3">
        <f>'1_LDV calcs'!L43</f>
        <v>0.106435493844812</v>
      </c>
      <c r="Q9" s="3">
        <f>'1_LDV calcs'!M43</f>
        <v>0.10730371362915696</v>
      </c>
      <c r="R9" s="3">
        <f>'1_LDV calcs'!N43</f>
        <v>0.10818601910743104</v>
      </c>
      <c r="S9" s="3">
        <f>'1_LDV calcs'!O43</f>
        <v>0.10908274986782439</v>
      </c>
      <c r="T9" s="3">
        <f>'1_LDV calcs'!P43</f>
        <v>0.10999425625219014</v>
      </c>
      <c r="U9" s="3">
        <f>'1_LDV calcs'!Q43</f>
        <v>0.11092089977165714</v>
      </c>
      <c r="V9" s="3">
        <f>'1_LDV calcs'!R43</f>
        <v>0.11186305354077516</v>
      </c>
      <c r="W9" s="3">
        <f>'1_LDV calcs'!S43</f>
        <v>0.11282110273109151</v>
      </c>
      <c r="X9" s="3">
        <f>'1_LDV calcs'!T43</f>
        <v>0.11379544504510188</v>
      </c>
      <c r="Y9" s="3">
        <f>'1_LDV calcs'!U43</f>
        <v>0.11478649121156247</v>
      </c>
      <c r="Z9" s="3">
        <f>'1_LDV calcs'!V43</f>
        <v>0.11579466550319686</v>
      </c>
      <c r="AA9" s="3">
        <f>'1_LDV calcs'!W43</f>
        <v>0.11682040627787757</v>
      </c>
      <c r="AB9" s="3">
        <f>'1_LDV calcs'!X43</f>
        <v>0.11786416654441327</v>
      </c>
      <c r="AC9" s="3">
        <f>'1_LDV calcs'!Y43</f>
        <v>0.11892641455411933</v>
      </c>
      <c r="AD9" s="3">
        <f>'1_LDV calcs'!Z43</f>
        <v>0.12000763441940177</v>
      </c>
      <c r="AE9" s="3">
        <f>'1_LDV calcs'!AA43</f>
        <v>0.12110832676063525</v>
      </c>
      <c r="AF9" s="3">
        <f>'1_LDV calcs'!AB43</f>
        <v>0.12222900938266582</v>
      </c>
      <c r="AG9" s="3">
        <f>'1_LDV calcs'!AC43</f>
        <v>0.12337021798232106</v>
      </c>
      <c r="AH9" s="3">
        <f>'1_LDV calcs'!AD43</f>
        <v>0.124532506888358</v>
      </c>
      <c r="AI9" s="3">
        <f>'1_LDV calcs'!AE43</f>
        <v>0.12571644983532901</v>
      </c>
      <c r="AJ9" s="3">
        <f>'1_LDV calcs'!AF43</f>
        <v>0.12692264077288906</v>
      </c>
      <c r="AK9" s="3">
        <f>'1_LDV calcs'!AG43</f>
        <v>0.12815169471211077</v>
      </c>
      <c r="AL9" s="3">
        <f>'1_LDV calcs'!AH43</f>
        <v>0.129404248610409</v>
      </c>
      <c r="AM9" s="3">
        <f>'1_LDV calcs'!AI43</f>
        <v>0.13068096229670778</v>
      </c>
      <c r="AN9" s="3">
        <f>'1_LDV calcs'!AJ43</f>
        <v>0.13198251943850259</v>
      </c>
      <c r="AO9" s="3">
        <f>'1_LDV calcs'!AK43</f>
        <v>0.13330962855248313</v>
      </c>
      <c r="AP9" s="3">
        <f>'1_LDV calcs'!AL43</f>
        <v>0.13466302406037847</v>
      </c>
      <c r="AQ9" s="3">
        <f>'1_LDV calcs'!AM43</f>
        <v>0.13604346739166717</v>
      </c>
      <c r="AR9" s="3">
        <f>'1_LDV calcs'!AN43</f>
        <v>0.13745174813475614</v>
      </c>
      <c r="AS9" s="3">
        <f>'1_LDV calcs'!AO43</f>
        <v>0.13888868523816655</v>
      </c>
      <c r="AT9" s="3">
        <f>'1_LDV calcs'!AP43</f>
        <v>0.14035512826317034</v>
      </c>
      <c r="AU9" s="3">
        <f>'1_LDV calcs'!AQ43</f>
        <v>0.14185195868918865</v>
      </c>
      <c r="AV9" s="3">
        <f>'1_LDV calcs'!AR43</f>
        <v>0.14338009127308612</v>
      </c>
      <c r="AW9" s="3">
        <f>'1_LDV calcs'!AS43</f>
        <v>0.14494047546326316</v>
      </c>
      <c r="AX9" s="3">
        <f>'1_LDV calcs'!AT43</f>
        <v>0.14653409686915275</v>
      </c>
      <c r="AY9" s="3">
        <f>'1_LDV calcs'!AU43</f>
        <v>0.14816197878635165</v>
      </c>
      <c r="AZ9" s="3">
        <f>'1_LDV calcs'!AV43</f>
        <v>0.14982518377714696</v>
      </c>
      <c r="BA9" s="3">
        <f>'1_LDV calcs'!AW43</f>
        <v>0.15152481530561679</v>
      </c>
      <c r="BB9" s="3">
        <f>'1_LDV calcs'!AX43</f>
        <v>0.15326201942576337</v>
      </c>
      <c r="BC9" s="3">
        <f>'1_LDV calcs'!AY43</f>
        <v>0.15503798652025866</v>
      </c>
      <c r="BD9" s="3">
        <f>'1_LDV calcs'!AZ43</f>
        <v>0.15685395308630426</v>
      </c>
      <c r="BE9" s="3">
        <f>'1_LDV calcs'!BA43</f>
        <v>0.158711203563801</v>
      </c>
      <c r="BF9" s="3">
        <f>'1_LDV calcs'!BB43</f>
        <v>0.16061107219943435</v>
      </c>
      <c r="BG9" s="3">
        <f>'1_LDV calcs'!BC43</f>
        <v>0.16255494493836198</v>
      </c>
      <c r="BH9" s="3">
        <f>'1_LDV calcs'!BD43</f>
        <v>0.16454426133286668</v>
      </c>
      <c r="BI9" s="3">
        <f>'1_LDV calcs'!BE43</f>
        <v>0.16658051645453775</v>
      </c>
      <c r="BJ9" s="3">
        <f>'1_LDV calcs'!BF43</f>
        <v>0.16866526279317001</v>
      </c>
      <c r="BK9" s="3">
        <f>'1_LDV calcs'!BG43</f>
        <v>0.17080011212150287</v>
      </c>
      <c r="BL9" s="3">
        <f>'1_LDV calcs'!BH43</f>
        <v>0.17298673730003356</v>
      </c>
      <c r="BM9" s="3">
        <f>'1_LDV calcs'!BI43</f>
        <v>0.17522687399025358</v>
      </c>
      <c r="BN9" s="3">
        <f>'1_LDV calcs'!BJ43</f>
        <v>0.17752232223757958</v>
      </c>
      <c r="BO9" s="3">
        <f>'1_LDV calcs'!BK43</f>
        <v>0.17987494787673663</v>
      </c>
      <c r="BP9" s="3">
        <f>'1_LDV calcs'!BL43</f>
        <v>0.18228668370210926</v>
      </c>
    </row>
    <row r="10" spans="1:68" s="2" customFormat="1">
      <c r="A10" s="2" t="s">
        <v>664</v>
      </c>
      <c r="B10" s="300" t="s">
        <v>677</v>
      </c>
      <c r="C10" s="300" t="s">
        <v>678</v>
      </c>
      <c r="D10" s="300" t="s">
        <v>679</v>
      </c>
      <c r="E10" s="300" t="s">
        <v>675</v>
      </c>
      <c r="F10" s="2" t="s">
        <v>681</v>
      </c>
      <c r="G10" s="2" t="s">
        <v>680</v>
      </c>
      <c r="H10" s="3">
        <f>'1_LDV calcs'!D43</f>
        <v>9.9959318487465851E-2</v>
      </c>
      <c r="I10" s="3">
        <f>'1_LDV calcs'!E43</f>
        <v>0.10072591133522096</v>
      </c>
      <c r="J10" s="3">
        <f>'1_LDV calcs'!F43</f>
        <v>0.10150421590192379</v>
      </c>
      <c r="K10" s="3">
        <f>'1_LDV calcs'!G43</f>
        <v>0.10229449874987527</v>
      </c>
      <c r="L10" s="3">
        <f>'1_LDV calcs'!H43</f>
        <v>0.10309703444240208</v>
      </c>
      <c r="M10" s="3">
        <f>'1_LDV calcs'!I43</f>
        <v>0.10391210583891844</v>
      </c>
      <c r="N10" s="3">
        <f>'1_LDV calcs'!J43</f>
        <v>0.10474000440269306</v>
      </c>
      <c r="O10" s="3">
        <f>'1_LDV calcs'!K43</f>
        <v>0.105581030521931</v>
      </c>
      <c r="P10" s="3">
        <f>'1_LDV calcs'!L43</f>
        <v>0.106435493844812</v>
      </c>
      <c r="Q10" s="3">
        <f>'1_LDV calcs'!M43</f>
        <v>0.10730371362915696</v>
      </c>
      <c r="R10" s="3">
        <f>'1_LDV calcs'!N43</f>
        <v>0.10818601910743104</v>
      </c>
      <c r="S10" s="3">
        <f>'1_LDV calcs'!O43</f>
        <v>0.10908274986782439</v>
      </c>
      <c r="T10" s="3">
        <f>'1_LDV calcs'!P43</f>
        <v>0.10999425625219014</v>
      </c>
      <c r="U10" s="3">
        <f>'1_LDV calcs'!Q43</f>
        <v>0.11092089977165714</v>
      </c>
      <c r="V10" s="3">
        <f>'1_LDV calcs'!R43</f>
        <v>0.11186305354077516</v>
      </c>
      <c r="W10" s="3">
        <f>'1_LDV calcs'!S43</f>
        <v>0.11282110273109151</v>
      </c>
      <c r="X10" s="3">
        <f>'1_LDV calcs'!T43</f>
        <v>0.11379544504510188</v>
      </c>
      <c r="Y10" s="3">
        <f>'1_LDV calcs'!U43</f>
        <v>0.11478649121156247</v>
      </c>
      <c r="Z10" s="3">
        <f>'1_LDV calcs'!V43</f>
        <v>0.11579466550319686</v>
      </c>
      <c r="AA10" s="3">
        <f>'1_LDV calcs'!W43</f>
        <v>0.11682040627787757</v>
      </c>
      <c r="AB10" s="3">
        <f>'1_LDV calcs'!X43</f>
        <v>0.11786416654441327</v>
      </c>
      <c r="AC10" s="3">
        <f>'1_LDV calcs'!Y43</f>
        <v>0.11892641455411933</v>
      </c>
      <c r="AD10" s="3">
        <f>'1_LDV calcs'!Z43</f>
        <v>0.12000763441940177</v>
      </c>
      <c r="AE10" s="3">
        <f>'1_LDV calcs'!AA43</f>
        <v>0.12110832676063525</v>
      </c>
      <c r="AF10" s="3">
        <f>'1_LDV calcs'!AB43</f>
        <v>0.12222900938266582</v>
      </c>
      <c r="AG10" s="3">
        <f>'1_LDV calcs'!AC43</f>
        <v>0.12337021798232106</v>
      </c>
      <c r="AH10" s="3">
        <f>'1_LDV calcs'!AD43</f>
        <v>0.124532506888358</v>
      </c>
      <c r="AI10" s="3">
        <f>'1_LDV calcs'!AE43</f>
        <v>0.12571644983532901</v>
      </c>
      <c r="AJ10" s="3">
        <f>'1_LDV calcs'!AF43</f>
        <v>0.12692264077288906</v>
      </c>
      <c r="AK10" s="3">
        <f>'1_LDV calcs'!AG43</f>
        <v>0.12815169471211077</v>
      </c>
      <c r="AL10" s="3">
        <f>'1_LDV calcs'!AH43</f>
        <v>0.129404248610409</v>
      </c>
      <c r="AM10" s="3">
        <f>'1_LDV calcs'!AI43</f>
        <v>0.13068096229670778</v>
      </c>
      <c r="AN10" s="3">
        <f>'1_LDV calcs'!AJ43</f>
        <v>0.13198251943850259</v>
      </c>
      <c r="AO10" s="3">
        <f>'1_LDV calcs'!AK43</f>
        <v>0.13330962855248313</v>
      </c>
      <c r="AP10" s="3">
        <f>'1_LDV calcs'!AL43</f>
        <v>0.13466302406037847</v>
      </c>
      <c r="AQ10" s="3">
        <f>'1_LDV calcs'!AM43</f>
        <v>0.13604346739166717</v>
      </c>
      <c r="AR10" s="3">
        <f>'1_LDV calcs'!AN43</f>
        <v>0.13745174813475614</v>
      </c>
      <c r="AS10" s="3">
        <f>'1_LDV calcs'!AO43</f>
        <v>0.13888868523816655</v>
      </c>
      <c r="AT10" s="3">
        <f>'1_LDV calcs'!AP43</f>
        <v>0.14035512826317034</v>
      </c>
      <c r="AU10" s="3">
        <f>'1_LDV calcs'!AQ43</f>
        <v>0.14185195868918865</v>
      </c>
      <c r="AV10" s="3">
        <f>'1_LDV calcs'!AR43</f>
        <v>0.14338009127308612</v>
      </c>
      <c r="AW10" s="3">
        <f>'1_LDV calcs'!AS43</f>
        <v>0.14494047546326316</v>
      </c>
      <c r="AX10" s="3">
        <f>'1_LDV calcs'!AT43</f>
        <v>0.14653409686915275</v>
      </c>
      <c r="AY10" s="3">
        <f>'1_LDV calcs'!AU43</f>
        <v>0.14816197878635165</v>
      </c>
      <c r="AZ10" s="3">
        <f>'1_LDV calcs'!AV43</f>
        <v>0.14982518377714696</v>
      </c>
      <c r="BA10" s="3">
        <f>'1_LDV calcs'!AW43</f>
        <v>0.15152481530561679</v>
      </c>
      <c r="BB10" s="3">
        <f>'1_LDV calcs'!AX43</f>
        <v>0.15326201942576337</v>
      </c>
      <c r="BC10" s="3">
        <f>'1_LDV calcs'!AY43</f>
        <v>0.15503798652025866</v>
      </c>
      <c r="BD10" s="3">
        <f>'1_LDV calcs'!AZ43</f>
        <v>0.15685395308630426</v>
      </c>
      <c r="BE10" s="3">
        <f>'1_LDV calcs'!BA43</f>
        <v>0.158711203563801</v>
      </c>
      <c r="BF10" s="3">
        <f>'1_LDV calcs'!BB43</f>
        <v>0.16061107219943435</v>
      </c>
      <c r="BG10" s="3">
        <f>'1_LDV calcs'!BC43</f>
        <v>0.16255494493836198</v>
      </c>
      <c r="BH10" s="3">
        <f>'1_LDV calcs'!BD43</f>
        <v>0.16454426133286668</v>
      </c>
      <c r="BI10" s="3">
        <f>'1_LDV calcs'!BE43</f>
        <v>0.16658051645453775</v>
      </c>
      <c r="BJ10" s="3">
        <f>'1_LDV calcs'!BF43</f>
        <v>0.16866526279317001</v>
      </c>
      <c r="BK10" s="3">
        <f>'1_LDV calcs'!BG43</f>
        <v>0.17080011212150287</v>
      </c>
      <c r="BL10" s="3">
        <f>'1_LDV calcs'!BH43</f>
        <v>0.17298673730003356</v>
      </c>
      <c r="BM10" s="3">
        <f>'1_LDV calcs'!BI43</f>
        <v>0.17522687399025358</v>
      </c>
      <c r="BN10" s="3">
        <f>'1_LDV calcs'!BJ43</f>
        <v>0.17752232223757958</v>
      </c>
      <c r="BO10" s="3">
        <f>'1_LDV calcs'!BK43</f>
        <v>0.17987494787673663</v>
      </c>
      <c r="BP10" s="3">
        <f>'1_LDV calcs'!BL43</f>
        <v>0.18228668370210926</v>
      </c>
    </row>
    <row r="11" spans="1:68" s="2" customFormat="1">
      <c r="A11" s="2" t="s">
        <v>665</v>
      </c>
      <c r="B11" s="300" t="s">
        <v>677</v>
      </c>
      <c r="C11" s="300" t="s">
        <v>678</v>
      </c>
      <c r="D11" s="300" t="s">
        <v>679</v>
      </c>
      <c r="E11" s="300" t="s">
        <v>675</v>
      </c>
      <c r="F11" s="2" t="s">
        <v>681</v>
      </c>
      <c r="G11" s="2" t="s">
        <v>680</v>
      </c>
      <c r="H11" s="3">
        <f>'1_LDV calcs'!D44</f>
        <v>0.12584235911910077</v>
      </c>
      <c r="I11" s="3">
        <f>'1_LDV calcs'!E44</f>
        <v>0.12666682681237498</v>
      </c>
      <c r="J11" s="3">
        <f>'1_LDV calcs'!F44</f>
        <v>0.12750193577932861</v>
      </c>
      <c r="K11" s="3">
        <f>'1_LDV calcs'!G44</f>
        <v>0.12834788740019124</v>
      </c>
      <c r="L11" s="3">
        <f>'1_LDV calcs'!H44</f>
        <v>0.12920488795905244</v>
      </c>
      <c r="M11" s="3">
        <f>'1_LDV calcs'!I44</f>
        <v>0.130073148784521</v>
      </c>
      <c r="N11" s="3">
        <f>'1_LDV calcs'!J44</f>
        <v>0.13095288639470876</v>
      </c>
      <c r="O11" s="3">
        <f>'1_LDV calcs'!K44</f>
        <v>0.13184432264665702</v>
      </c>
      <c r="P11" s="3">
        <f>'1_LDV calcs'!L44</f>
        <v>0.13274768489032204</v>
      </c>
      <c r="Q11" s="3">
        <f>'1_LDV calcs'!M44</f>
        <v>0.13366320612723617</v>
      </c>
      <c r="R11" s="3">
        <f>'1_LDV calcs'!N44</f>
        <v>0.13459112517396046</v>
      </c>
      <c r="S11" s="3">
        <f>'1_LDV calcs'!O44</f>
        <v>0.13553168683044178</v>
      </c>
      <c r="T11" s="3">
        <f>'1_LDV calcs'!P44</f>
        <v>0.13648514205338619</v>
      </c>
      <c r="U11" s="3">
        <f>'1_LDV calcs'!Q44</f>
        <v>0.13745174813475602</v>
      </c>
      <c r="V11" s="3">
        <f>'1_LDV calcs'!R44</f>
        <v>0.13843176888549444</v>
      </c>
      <c r="W11" s="3">
        <f>'1_LDV calcs'!S44</f>
        <v>0.13942547482457404</v>
      </c>
      <c r="X11" s="3">
        <f>'1_LDV calcs'!T44</f>
        <v>0.14043314337346202</v>
      </c>
      <c r="Y11" s="3">
        <f>'1_LDV calcs'!U44</f>
        <v>0.14145505905608258</v>
      </c>
      <c r="Z11" s="3">
        <f>'1_LDV calcs'!V44</f>
        <v>0.14249151370435023</v>
      </c>
      <c r="AA11" s="3">
        <f>'1_LDV calcs'!W44</f>
        <v>0.14354280666933295</v>
      </c>
      <c r="AB11" s="3">
        <f>'1_LDV calcs'!X44</f>
        <v>0.14460924503809186</v>
      </c>
      <c r="AC11" s="3">
        <f>'1_LDV calcs'!Y44</f>
        <v>0.14569114385622572</v>
      </c>
      <c r="AD11" s="3">
        <f>'1_LDV calcs'!Z44</f>
        <v>0.14678882635612991</v>
      </c>
      <c r="AE11" s="3">
        <f>'1_LDV calcs'!AA44</f>
        <v>0.14790262419095634</v>
      </c>
      <c r="AF11" s="3">
        <f>'1_LDV calcs'!AB44</f>
        <v>0.14903287767423357</v>
      </c>
      <c r="AG11" s="3">
        <f>'1_LDV calcs'!AC44</f>
        <v>0.15017993602507645</v>
      </c>
      <c r="AH11" s="3">
        <f>'1_LDV calcs'!AD44</f>
        <v>0.15134415761887943</v>
      </c>
      <c r="AI11" s="3">
        <f>'1_LDV calcs'!AE44</f>
        <v>0.15252591024334519</v>
      </c>
      <c r="AJ11" s="3">
        <f>'1_LDV calcs'!AF44</f>
        <v>0.15372557135965603</v>
      </c>
      <c r="AK11" s="3">
        <f>'1_LDV calcs'!AG44</f>
        <v>0.15494352836854014</v>
      </c>
      <c r="AL11" s="3">
        <f>'1_LDV calcs'!AH44</f>
        <v>0.15618017888092389</v>
      </c>
      <c r="AM11" s="3">
        <f>'1_LDV calcs'!AI44</f>
        <v>0.15743593099279266</v>
      </c>
      <c r="AN11" s="3">
        <f>'1_LDV calcs'!AJ44</f>
        <v>0.158711203563801</v>
      </c>
      <c r="AO11" s="3">
        <f>'1_LDV calcs'!AK44</f>
        <v>0.16000642649908389</v>
      </c>
      <c r="AP11" s="3">
        <f>'1_LDV calcs'!AL44</f>
        <v>0.16132204103361669</v>
      </c>
      <c r="AQ11" s="3">
        <f>'1_LDV calcs'!AM44</f>
        <v>0.16265850001835364</v>
      </c>
      <c r="AR11" s="3">
        <f>'1_LDV calcs'!AN44</f>
        <v>0.16401626820724113</v>
      </c>
      <c r="AS11" s="3">
        <f>'1_LDV calcs'!AO44</f>
        <v>0.16539582254405094</v>
      </c>
      <c r="AT11" s="3">
        <f>'1_LDV calcs'!AP44</f>
        <v>0.16679765244780362</v>
      </c>
      <c r="AU11" s="3">
        <f>'1_LDV calcs'!AQ44</f>
        <v>0.16822226009536029</v>
      </c>
      <c r="AV11" s="3">
        <f>'1_LDV calcs'!AR44</f>
        <v>0.16967016069953378</v>
      </c>
      <c r="AW11" s="3">
        <f>'1_LDV calcs'!AS44</f>
        <v>0.17114188278082237</v>
      </c>
      <c r="AX11" s="3">
        <f>'1_LDV calcs'!AT44</f>
        <v>0.1726379684305793</v>
      </c>
      <c r="AY11" s="3">
        <f>'1_LDV calcs'!AU44</f>
        <v>0.17415897356310808</v>
      </c>
      <c r="AZ11" s="3">
        <f>'1_LDV calcs'!AV44</f>
        <v>0.17570546815380525</v>
      </c>
      <c r="BA11" s="3">
        <f>'1_LDV calcs'!AW44</f>
        <v>0.17727803646005172</v>
      </c>
      <c r="BB11" s="3">
        <f>'1_LDV calcs'!AX44</f>
        <v>0.17887727722108113</v>
      </c>
      <c r="BC11" s="3">
        <f>'1_LDV calcs'!AY44</f>
        <v>0.18050380383251274</v>
      </c>
      <c r="BD11" s="3">
        <f>'1_LDV calcs'!AZ44</f>
        <v>0.18215824449062695</v>
      </c>
      <c r="BE11" s="3">
        <f>'1_LDV calcs'!BA44</f>
        <v>0.1838412423007636</v>
      </c>
      <c r="BF11" s="3">
        <f>'1_LDV calcs'!BB44</f>
        <v>0.18555345534343634</v>
      </c>
      <c r="BG11" s="3">
        <f>'1_LDV calcs'!BC44</f>
        <v>0.18729555669085923</v>
      </c>
      <c r="BH11" s="3">
        <f>'1_LDV calcs'!BD44</f>
        <v>0.18906823436556322</v>
      </c>
      <c r="BI11" s="3">
        <f>'1_LDV calcs'!BE44</f>
        <v>0.19087219123162064</v>
      </c>
      <c r="BJ11" s="3">
        <f>'1_LDV calcs'!BF44</f>
        <v>0.19270814480768078</v>
      </c>
      <c r="BK11" s="3">
        <f>'1_LDV calcs'!BG44</f>
        <v>0.1945768269895192</v>
      </c>
      <c r="BL11" s="3">
        <f>'1_LDV calcs'!BH44</f>
        <v>0.19647898366809993</v>
      </c>
      <c r="BM11" s="3">
        <f>'1_LDV calcs'!BI44</f>
        <v>0.19841537422720659</v>
      </c>
      <c r="BN11" s="3">
        <f>'1_LDV calcs'!BJ44</f>
        <v>0.20038677090248758</v>
      </c>
      <c r="BO11" s="3">
        <f>'1_LDV calcs'!BK44</f>
        <v>0.20239395798124094</v>
      </c>
      <c r="BP11" s="3">
        <f>'1_LDV calcs'!BL44</f>
        <v>0.20443773081939207</v>
      </c>
    </row>
    <row r="12" spans="1:68" s="2" customFormat="1">
      <c r="A12" s="2" t="s">
        <v>666</v>
      </c>
      <c r="B12" s="300" t="s">
        <v>677</v>
      </c>
      <c r="C12" s="300" t="s">
        <v>678</v>
      </c>
      <c r="D12" s="300" t="s">
        <v>679</v>
      </c>
      <c r="E12" s="300" t="s">
        <v>675</v>
      </c>
      <c r="F12" s="2" t="s">
        <v>681</v>
      </c>
      <c r="G12" s="2" t="s">
        <v>680</v>
      </c>
      <c r="H12" s="3">
        <f>'1_LDV calcs'!D44</f>
        <v>0.12584235911910077</v>
      </c>
      <c r="I12" s="3">
        <f>'1_LDV calcs'!E44</f>
        <v>0.12666682681237498</v>
      </c>
      <c r="J12" s="3">
        <f>'1_LDV calcs'!F44</f>
        <v>0.12750193577932861</v>
      </c>
      <c r="K12" s="3">
        <f>'1_LDV calcs'!G44</f>
        <v>0.12834788740019124</v>
      </c>
      <c r="L12" s="3">
        <f>'1_LDV calcs'!H44</f>
        <v>0.12920488795905244</v>
      </c>
      <c r="M12" s="3">
        <f>'1_LDV calcs'!I44</f>
        <v>0.130073148784521</v>
      </c>
      <c r="N12" s="3">
        <f>'1_LDV calcs'!J44</f>
        <v>0.13095288639470876</v>
      </c>
      <c r="O12" s="3">
        <f>'1_LDV calcs'!K44</f>
        <v>0.13184432264665702</v>
      </c>
      <c r="P12" s="3">
        <f>'1_LDV calcs'!L44</f>
        <v>0.13274768489032204</v>
      </c>
      <c r="Q12" s="3">
        <f>'1_LDV calcs'!M44</f>
        <v>0.13366320612723617</v>
      </c>
      <c r="R12" s="3">
        <f>'1_LDV calcs'!N44</f>
        <v>0.13459112517396046</v>
      </c>
      <c r="S12" s="3">
        <f>'1_LDV calcs'!O44</f>
        <v>0.13553168683044178</v>
      </c>
      <c r="T12" s="3">
        <f>'1_LDV calcs'!P44</f>
        <v>0.13648514205338619</v>
      </c>
      <c r="U12" s="3">
        <f>'1_LDV calcs'!Q44</f>
        <v>0.13745174813475602</v>
      </c>
      <c r="V12" s="3">
        <f>'1_LDV calcs'!R44</f>
        <v>0.13843176888549444</v>
      </c>
      <c r="W12" s="3">
        <f>'1_LDV calcs'!S44</f>
        <v>0.13942547482457404</v>
      </c>
      <c r="X12" s="3">
        <f>'1_LDV calcs'!T44</f>
        <v>0.14043314337346202</v>
      </c>
      <c r="Y12" s="3">
        <f>'1_LDV calcs'!U44</f>
        <v>0.14145505905608258</v>
      </c>
      <c r="Z12" s="3">
        <f>'1_LDV calcs'!V44</f>
        <v>0.14249151370435023</v>
      </c>
      <c r="AA12" s="3">
        <f>'1_LDV calcs'!W44</f>
        <v>0.14354280666933295</v>
      </c>
      <c r="AB12" s="3">
        <f>'1_LDV calcs'!X44</f>
        <v>0.14460924503809186</v>
      </c>
      <c r="AC12" s="3">
        <f>'1_LDV calcs'!Y44</f>
        <v>0.14569114385622572</v>
      </c>
      <c r="AD12" s="3">
        <f>'1_LDV calcs'!Z44</f>
        <v>0.14678882635612991</v>
      </c>
      <c r="AE12" s="3">
        <f>'1_LDV calcs'!AA44</f>
        <v>0.14790262419095634</v>
      </c>
      <c r="AF12" s="3">
        <f>'1_LDV calcs'!AB44</f>
        <v>0.14903287767423357</v>
      </c>
      <c r="AG12" s="3">
        <f>'1_LDV calcs'!AC44</f>
        <v>0.15017993602507645</v>
      </c>
      <c r="AH12" s="3">
        <f>'1_LDV calcs'!AD44</f>
        <v>0.15134415761887943</v>
      </c>
      <c r="AI12" s="3">
        <f>'1_LDV calcs'!AE44</f>
        <v>0.15252591024334519</v>
      </c>
      <c r="AJ12" s="3">
        <f>'1_LDV calcs'!AF44</f>
        <v>0.15372557135965603</v>
      </c>
      <c r="AK12" s="3">
        <f>'1_LDV calcs'!AG44</f>
        <v>0.15494352836854014</v>
      </c>
      <c r="AL12" s="3">
        <f>'1_LDV calcs'!AH44</f>
        <v>0.15618017888092389</v>
      </c>
      <c r="AM12" s="3">
        <f>'1_LDV calcs'!AI44</f>
        <v>0.15743593099279266</v>
      </c>
      <c r="AN12" s="3">
        <f>'1_LDV calcs'!AJ44</f>
        <v>0.158711203563801</v>
      </c>
      <c r="AO12" s="3">
        <f>'1_LDV calcs'!AK44</f>
        <v>0.16000642649908389</v>
      </c>
      <c r="AP12" s="3">
        <f>'1_LDV calcs'!AL44</f>
        <v>0.16132204103361669</v>
      </c>
      <c r="AQ12" s="3">
        <f>'1_LDV calcs'!AM44</f>
        <v>0.16265850001835364</v>
      </c>
      <c r="AR12" s="3">
        <f>'1_LDV calcs'!AN44</f>
        <v>0.16401626820724113</v>
      </c>
      <c r="AS12" s="3">
        <f>'1_LDV calcs'!AO44</f>
        <v>0.16539582254405094</v>
      </c>
      <c r="AT12" s="3">
        <f>'1_LDV calcs'!AP44</f>
        <v>0.16679765244780362</v>
      </c>
      <c r="AU12" s="3">
        <f>'1_LDV calcs'!AQ44</f>
        <v>0.16822226009536029</v>
      </c>
      <c r="AV12" s="3">
        <f>'1_LDV calcs'!AR44</f>
        <v>0.16967016069953378</v>
      </c>
      <c r="AW12" s="3">
        <f>'1_LDV calcs'!AS44</f>
        <v>0.17114188278082237</v>
      </c>
      <c r="AX12" s="3">
        <f>'1_LDV calcs'!AT44</f>
        <v>0.1726379684305793</v>
      </c>
      <c r="AY12" s="3">
        <f>'1_LDV calcs'!AU44</f>
        <v>0.17415897356310808</v>
      </c>
      <c r="AZ12" s="3">
        <f>'1_LDV calcs'!AV44</f>
        <v>0.17570546815380525</v>
      </c>
      <c r="BA12" s="3">
        <f>'1_LDV calcs'!AW44</f>
        <v>0.17727803646005172</v>
      </c>
      <c r="BB12" s="3">
        <f>'1_LDV calcs'!AX44</f>
        <v>0.17887727722108113</v>
      </c>
      <c r="BC12" s="3">
        <f>'1_LDV calcs'!AY44</f>
        <v>0.18050380383251274</v>
      </c>
      <c r="BD12" s="3">
        <f>'1_LDV calcs'!AZ44</f>
        <v>0.18215824449062695</v>
      </c>
      <c r="BE12" s="3">
        <f>'1_LDV calcs'!BA44</f>
        <v>0.1838412423007636</v>
      </c>
      <c r="BF12" s="3">
        <f>'1_LDV calcs'!BB44</f>
        <v>0.18555345534343634</v>
      </c>
      <c r="BG12" s="3">
        <f>'1_LDV calcs'!BC44</f>
        <v>0.18729555669085923</v>
      </c>
      <c r="BH12" s="3">
        <f>'1_LDV calcs'!BD44</f>
        <v>0.18906823436556322</v>
      </c>
      <c r="BI12" s="3">
        <f>'1_LDV calcs'!BE44</f>
        <v>0.19087219123162064</v>
      </c>
      <c r="BJ12" s="3">
        <f>'1_LDV calcs'!BF44</f>
        <v>0.19270814480768078</v>
      </c>
      <c r="BK12" s="3">
        <f>'1_LDV calcs'!BG44</f>
        <v>0.1945768269895192</v>
      </c>
      <c r="BL12" s="3">
        <f>'1_LDV calcs'!BH44</f>
        <v>0.19647898366809993</v>
      </c>
      <c r="BM12" s="3">
        <f>'1_LDV calcs'!BI44</f>
        <v>0.19841537422720659</v>
      </c>
      <c r="BN12" s="3">
        <f>'1_LDV calcs'!BJ44</f>
        <v>0.20038677090248758</v>
      </c>
      <c r="BO12" s="3">
        <f>'1_LDV calcs'!BK44</f>
        <v>0.20239395798124094</v>
      </c>
      <c r="BP12" s="3">
        <f>'1_LDV calcs'!BL44</f>
        <v>0.20443773081939207</v>
      </c>
    </row>
    <row r="13" spans="1:68" s="2" customFormat="1">
      <c r="A13" s="2" t="s">
        <v>667</v>
      </c>
      <c r="B13" s="300" t="s">
        <v>677</v>
      </c>
      <c r="C13" s="300" t="s">
        <v>678</v>
      </c>
      <c r="D13" s="300" t="s">
        <v>679</v>
      </c>
      <c r="E13" s="300" t="s">
        <v>675</v>
      </c>
      <c r="F13" s="2" t="s">
        <v>681</v>
      </c>
      <c r="G13" s="2" t="s">
        <v>680</v>
      </c>
      <c r="H13" s="3">
        <f>'1_LDV calcs'!D44</f>
        <v>0.12584235911910077</v>
      </c>
      <c r="I13" s="3">
        <f>'1_LDV calcs'!E44</f>
        <v>0.12666682681237498</v>
      </c>
      <c r="J13" s="3">
        <f>'1_LDV calcs'!F44</f>
        <v>0.12750193577932861</v>
      </c>
      <c r="K13" s="3">
        <f>'1_LDV calcs'!G44</f>
        <v>0.12834788740019124</v>
      </c>
      <c r="L13" s="3">
        <f>'1_LDV calcs'!H44</f>
        <v>0.12920488795905244</v>
      </c>
      <c r="M13" s="3">
        <f>'1_LDV calcs'!I44</f>
        <v>0.130073148784521</v>
      </c>
      <c r="N13" s="3">
        <f>'1_LDV calcs'!J44</f>
        <v>0.13095288639470876</v>
      </c>
      <c r="O13" s="3">
        <f>'1_LDV calcs'!K44</f>
        <v>0.13184432264665702</v>
      </c>
      <c r="P13" s="3">
        <f>'1_LDV calcs'!L44</f>
        <v>0.13274768489032204</v>
      </c>
      <c r="Q13" s="3">
        <f>'1_LDV calcs'!M44</f>
        <v>0.13366320612723617</v>
      </c>
      <c r="R13" s="3">
        <f>'1_LDV calcs'!N44</f>
        <v>0.13459112517396046</v>
      </c>
      <c r="S13" s="3">
        <f>'1_LDV calcs'!O44</f>
        <v>0.13553168683044178</v>
      </c>
      <c r="T13" s="3">
        <f>'1_LDV calcs'!P44</f>
        <v>0.13648514205338619</v>
      </c>
      <c r="U13" s="3">
        <f>'1_LDV calcs'!Q44</f>
        <v>0.13745174813475602</v>
      </c>
      <c r="V13" s="3">
        <f>'1_LDV calcs'!R44</f>
        <v>0.13843176888549444</v>
      </c>
      <c r="W13" s="3">
        <f>'1_LDV calcs'!S44</f>
        <v>0.13942547482457404</v>
      </c>
      <c r="X13" s="3">
        <f>'1_LDV calcs'!T44</f>
        <v>0.14043314337346202</v>
      </c>
      <c r="Y13" s="3">
        <f>'1_LDV calcs'!U44</f>
        <v>0.14145505905608258</v>
      </c>
      <c r="Z13" s="3">
        <f>'1_LDV calcs'!V44</f>
        <v>0.14249151370435023</v>
      </c>
      <c r="AA13" s="3">
        <f>'1_LDV calcs'!W44</f>
        <v>0.14354280666933295</v>
      </c>
      <c r="AB13" s="3">
        <f>'1_LDV calcs'!X44</f>
        <v>0.14460924503809186</v>
      </c>
      <c r="AC13" s="3">
        <f>'1_LDV calcs'!Y44</f>
        <v>0.14569114385622572</v>
      </c>
      <c r="AD13" s="3">
        <f>'1_LDV calcs'!Z44</f>
        <v>0.14678882635612991</v>
      </c>
      <c r="AE13" s="3">
        <f>'1_LDV calcs'!AA44</f>
        <v>0.14790262419095634</v>
      </c>
      <c r="AF13" s="3">
        <f>'1_LDV calcs'!AB44</f>
        <v>0.14903287767423357</v>
      </c>
      <c r="AG13" s="3">
        <f>'1_LDV calcs'!AC44</f>
        <v>0.15017993602507645</v>
      </c>
      <c r="AH13" s="3">
        <f>'1_LDV calcs'!AD44</f>
        <v>0.15134415761887943</v>
      </c>
      <c r="AI13" s="3">
        <f>'1_LDV calcs'!AE44</f>
        <v>0.15252591024334519</v>
      </c>
      <c r="AJ13" s="3">
        <f>'1_LDV calcs'!AF44</f>
        <v>0.15372557135965603</v>
      </c>
      <c r="AK13" s="3">
        <f>'1_LDV calcs'!AG44</f>
        <v>0.15494352836854014</v>
      </c>
      <c r="AL13" s="3">
        <f>'1_LDV calcs'!AH44</f>
        <v>0.15618017888092389</v>
      </c>
      <c r="AM13" s="3">
        <f>'1_LDV calcs'!AI44</f>
        <v>0.15743593099279266</v>
      </c>
      <c r="AN13" s="3">
        <f>'1_LDV calcs'!AJ44</f>
        <v>0.158711203563801</v>
      </c>
      <c r="AO13" s="3">
        <f>'1_LDV calcs'!AK44</f>
        <v>0.16000642649908389</v>
      </c>
      <c r="AP13" s="3">
        <f>'1_LDV calcs'!AL44</f>
        <v>0.16132204103361669</v>
      </c>
      <c r="AQ13" s="3">
        <f>'1_LDV calcs'!AM44</f>
        <v>0.16265850001835364</v>
      </c>
      <c r="AR13" s="3">
        <f>'1_LDV calcs'!AN44</f>
        <v>0.16401626820724113</v>
      </c>
      <c r="AS13" s="3">
        <f>'1_LDV calcs'!AO44</f>
        <v>0.16539582254405094</v>
      </c>
      <c r="AT13" s="3">
        <f>'1_LDV calcs'!AP44</f>
        <v>0.16679765244780362</v>
      </c>
      <c r="AU13" s="3">
        <f>'1_LDV calcs'!AQ44</f>
        <v>0.16822226009536029</v>
      </c>
      <c r="AV13" s="3">
        <f>'1_LDV calcs'!AR44</f>
        <v>0.16967016069953378</v>
      </c>
      <c r="AW13" s="3">
        <f>'1_LDV calcs'!AS44</f>
        <v>0.17114188278082237</v>
      </c>
      <c r="AX13" s="3">
        <f>'1_LDV calcs'!AT44</f>
        <v>0.1726379684305793</v>
      </c>
      <c r="AY13" s="3">
        <f>'1_LDV calcs'!AU44</f>
        <v>0.17415897356310808</v>
      </c>
      <c r="AZ13" s="3">
        <f>'1_LDV calcs'!AV44</f>
        <v>0.17570546815380525</v>
      </c>
      <c r="BA13" s="3">
        <f>'1_LDV calcs'!AW44</f>
        <v>0.17727803646005172</v>
      </c>
      <c r="BB13" s="3">
        <f>'1_LDV calcs'!AX44</f>
        <v>0.17887727722108113</v>
      </c>
      <c r="BC13" s="3">
        <f>'1_LDV calcs'!AY44</f>
        <v>0.18050380383251274</v>
      </c>
      <c r="BD13" s="3">
        <f>'1_LDV calcs'!AZ44</f>
        <v>0.18215824449062695</v>
      </c>
      <c r="BE13" s="3">
        <f>'1_LDV calcs'!BA44</f>
        <v>0.1838412423007636</v>
      </c>
      <c r="BF13" s="3">
        <f>'1_LDV calcs'!BB44</f>
        <v>0.18555345534343634</v>
      </c>
      <c r="BG13" s="3">
        <f>'1_LDV calcs'!BC44</f>
        <v>0.18729555669085923</v>
      </c>
      <c r="BH13" s="3">
        <f>'1_LDV calcs'!BD44</f>
        <v>0.18906823436556322</v>
      </c>
      <c r="BI13" s="3">
        <f>'1_LDV calcs'!BE44</f>
        <v>0.19087219123162064</v>
      </c>
      <c r="BJ13" s="3">
        <f>'1_LDV calcs'!BF44</f>
        <v>0.19270814480768078</v>
      </c>
      <c r="BK13" s="3">
        <f>'1_LDV calcs'!BG44</f>
        <v>0.1945768269895192</v>
      </c>
      <c r="BL13" s="3">
        <f>'1_LDV calcs'!BH44</f>
        <v>0.19647898366809993</v>
      </c>
      <c r="BM13" s="3">
        <f>'1_LDV calcs'!BI44</f>
        <v>0.19841537422720659</v>
      </c>
      <c r="BN13" s="3">
        <f>'1_LDV calcs'!BJ44</f>
        <v>0.20038677090248758</v>
      </c>
      <c r="BO13" s="3">
        <f>'1_LDV calcs'!BK44</f>
        <v>0.20239395798124094</v>
      </c>
      <c r="BP13" s="3">
        <f>'1_LDV calcs'!BL44</f>
        <v>0.20443773081939207</v>
      </c>
    </row>
    <row r="14" spans="1:68" s="2" customFormat="1">
      <c r="A14" s="2" t="s">
        <v>668</v>
      </c>
      <c r="B14" s="300" t="s">
        <v>677</v>
      </c>
      <c r="C14" s="300" t="s">
        <v>678</v>
      </c>
      <c r="D14" s="300" t="s">
        <v>679</v>
      </c>
      <c r="E14" s="300" t="s">
        <v>675</v>
      </c>
      <c r="F14" s="2" t="s">
        <v>681</v>
      </c>
      <c r="G14" s="2" t="s">
        <v>680</v>
      </c>
      <c r="H14" s="3">
        <f>'1_LDV calcs'!D44</f>
        <v>0.12584235911910077</v>
      </c>
      <c r="I14" s="3">
        <f>'1_LDV calcs'!E44</f>
        <v>0.12666682681237498</v>
      </c>
      <c r="J14" s="3">
        <f>'1_LDV calcs'!F44</f>
        <v>0.12750193577932861</v>
      </c>
      <c r="K14" s="3">
        <f>'1_LDV calcs'!G44</f>
        <v>0.12834788740019124</v>
      </c>
      <c r="L14" s="3">
        <f>'1_LDV calcs'!H44</f>
        <v>0.12920488795905244</v>
      </c>
      <c r="M14" s="3">
        <f>'1_LDV calcs'!I44</f>
        <v>0.130073148784521</v>
      </c>
      <c r="N14" s="3">
        <f>'1_LDV calcs'!J44</f>
        <v>0.13095288639470876</v>
      </c>
      <c r="O14" s="3">
        <f>'1_LDV calcs'!K44</f>
        <v>0.13184432264665702</v>
      </c>
      <c r="P14" s="3">
        <f>'1_LDV calcs'!L44</f>
        <v>0.13274768489032204</v>
      </c>
      <c r="Q14" s="3">
        <f>'1_LDV calcs'!M44</f>
        <v>0.13366320612723617</v>
      </c>
      <c r="R14" s="3">
        <f>'1_LDV calcs'!N44</f>
        <v>0.13459112517396046</v>
      </c>
      <c r="S14" s="3">
        <f>'1_LDV calcs'!O44</f>
        <v>0.13553168683044178</v>
      </c>
      <c r="T14" s="3">
        <f>'1_LDV calcs'!P44</f>
        <v>0.13648514205338619</v>
      </c>
      <c r="U14" s="3">
        <f>'1_LDV calcs'!Q44</f>
        <v>0.13745174813475602</v>
      </c>
      <c r="V14" s="3">
        <f>'1_LDV calcs'!R44</f>
        <v>0.13843176888549444</v>
      </c>
      <c r="W14" s="3">
        <f>'1_LDV calcs'!S44</f>
        <v>0.13942547482457404</v>
      </c>
      <c r="X14" s="3">
        <f>'1_LDV calcs'!T44</f>
        <v>0.14043314337346202</v>
      </c>
      <c r="Y14" s="3">
        <f>'1_LDV calcs'!U44</f>
        <v>0.14145505905608258</v>
      </c>
      <c r="Z14" s="3">
        <f>'1_LDV calcs'!V44</f>
        <v>0.14249151370435023</v>
      </c>
      <c r="AA14" s="3">
        <f>'1_LDV calcs'!W44</f>
        <v>0.14354280666933295</v>
      </c>
      <c r="AB14" s="3">
        <f>'1_LDV calcs'!X44</f>
        <v>0.14460924503809186</v>
      </c>
      <c r="AC14" s="3">
        <f>'1_LDV calcs'!Y44</f>
        <v>0.14569114385622572</v>
      </c>
      <c r="AD14" s="3">
        <f>'1_LDV calcs'!Z44</f>
        <v>0.14678882635612991</v>
      </c>
      <c r="AE14" s="3">
        <f>'1_LDV calcs'!AA44</f>
        <v>0.14790262419095634</v>
      </c>
      <c r="AF14" s="3">
        <f>'1_LDV calcs'!AB44</f>
        <v>0.14903287767423357</v>
      </c>
      <c r="AG14" s="3">
        <f>'1_LDV calcs'!AC44</f>
        <v>0.15017993602507645</v>
      </c>
      <c r="AH14" s="3">
        <f>'1_LDV calcs'!AD44</f>
        <v>0.15134415761887943</v>
      </c>
      <c r="AI14" s="3">
        <f>'1_LDV calcs'!AE44</f>
        <v>0.15252591024334519</v>
      </c>
      <c r="AJ14" s="3">
        <f>'1_LDV calcs'!AF44</f>
        <v>0.15372557135965603</v>
      </c>
      <c r="AK14" s="3">
        <f>'1_LDV calcs'!AG44</f>
        <v>0.15494352836854014</v>
      </c>
      <c r="AL14" s="3">
        <f>'1_LDV calcs'!AH44</f>
        <v>0.15618017888092389</v>
      </c>
      <c r="AM14" s="3">
        <f>'1_LDV calcs'!AI44</f>
        <v>0.15743593099279266</v>
      </c>
      <c r="AN14" s="3">
        <f>'1_LDV calcs'!AJ44</f>
        <v>0.158711203563801</v>
      </c>
      <c r="AO14" s="3">
        <f>'1_LDV calcs'!AK44</f>
        <v>0.16000642649908389</v>
      </c>
      <c r="AP14" s="3">
        <f>'1_LDV calcs'!AL44</f>
        <v>0.16132204103361669</v>
      </c>
      <c r="AQ14" s="3">
        <f>'1_LDV calcs'!AM44</f>
        <v>0.16265850001835364</v>
      </c>
      <c r="AR14" s="3">
        <f>'1_LDV calcs'!AN44</f>
        <v>0.16401626820724113</v>
      </c>
      <c r="AS14" s="3">
        <f>'1_LDV calcs'!AO44</f>
        <v>0.16539582254405094</v>
      </c>
      <c r="AT14" s="3">
        <f>'1_LDV calcs'!AP44</f>
        <v>0.16679765244780362</v>
      </c>
      <c r="AU14" s="3">
        <f>'1_LDV calcs'!AQ44</f>
        <v>0.16822226009536029</v>
      </c>
      <c r="AV14" s="3">
        <f>'1_LDV calcs'!AR44</f>
        <v>0.16967016069953378</v>
      </c>
      <c r="AW14" s="3">
        <f>'1_LDV calcs'!AS44</f>
        <v>0.17114188278082237</v>
      </c>
      <c r="AX14" s="3">
        <f>'1_LDV calcs'!AT44</f>
        <v>0.1726379684305793</v>
      </c>
      <c r="AY14" s="3">
        <f>'1_LDV calcs'!AU44</f>
        <v>0.17415897356310808</v>
      </c>
      <c r="AZ14" s="3">
        <f>'1_LDV calcs'!AV44</f>
        <v>0.17570546815380525</v>
      </c>
      <c r="BA14" s="3">
        <f>'1_LDV calcs'!AW44</f>
        <v>0.17727803646005172</v>
      </c>
      <c r="BB14" s="3">
        <f>'1_LDV calcs'!AX44</f>
        <v>0.17887727722108113</v>
      </c>
      <c r="BC14" s="3">
        <f>'1_LDV calcs'!AY44</f>
        <v>0.18050380383251274</v>
      </c>
      <c r="BD14" s="3">
        <f>'1_LDV calcs'!AZ44</f>
        <v>0.18215824449062695</v>
      </c>
      <c r="BE14" s="3">
        <f>'1_LDV calcs'!BA44</f>
        <v>0.1838412423007636</v>
      </c>
      <c r="BF14" s="3">
        <f>'1_LDV calcs'!BB44</f>
        <v>0.18555345534343634</v>
      </c>
      <c r="BG14" s="3">
        <f>'1_LDV calcs'!BC44</f>
        <v>0.18729555669085923</v>
      </c>
      <c r="BH14" s="3">
        <f>'1_LDV calcs'!BD44</f>
        <v>0.18906823436556322</v>
      </c>
      <c r="BI14" s="3">
        <f>'1_LDV calcs'!BE44</f>
        <v>0.19087219123162064</v>
      </c>
      <c r="BJ14" s="3">
        <f>'1_LDV calcs'!BF44</f>
        <v>0.19270814480768078</v>
      </c>
      <c r="BK14" s="3">
        <f>'1_LDV calcs'!BG44</f>
        <v>0.1945768269895192</v>
      </c>
      <c r="BL14" s="3">
        <f>'1_LDV calcs'!BH44</f>
        <v>0.19647898366809993</v>
      </c>
      <c r="BM14" s="3">
        <f>'1_LDV calcs'!BI44</f>
        <v>0.19841537422720659</v>
      </c>
      <c r="BN14" s="3">
        <f>'1_LDV calcs'!BJ44</f>
        <v>0.20038677090248758</v>
      </c>
      <c r="BO14" s="3">
        <f>'1_LDV calcs'!BK44</f>
        <v>0.20239395798124094</v>
      </c>
      <c r="BP14" s="3">
        <f>'1_LDV calcs'!BL44</f>
        <v>0.20443773081939207</v>
      </c>
    </row>
    <row r="15" spans="1:68" s="2" customFormat="1">
      <c r="A15" s="2" t="s">
        <v>669</v>
      </c>
      <c r="B15" s="300" t="s">
        <v>677</v>
      </c>
      <c r="C15" s="300" t="s">
        <v>678</v>
      </c>
      <c r="D15" s="300" t="s">
        <v>679</v>
      </c>
      <c r="E15" s="300" t="s">
        <v>675</v>
      </c>
      <c r="F15" s="2" t="s">
        <v>681</v>
      </c>
      <c r="G15" s="2" t="s">
        <v>680</v>
      </c>
      <c r="H15" s="3">
        <f>'1_LDV calcs'!D44</f>
        <v>0.12584235911910077</v>
      </c>
      <c r="I15" s="3">
        <f>'1_LDV calcs'!E44</f>
        <v>0.12666682681237498</v>
      </c>
      <c r="J15" s="3">
        <f>'1_LDV calcs'!F44</f>
        <v>0.12750193577932861</v>
      </c>
      <c r="K15" s="3">
        <f>'1_LDV calcs'!G44</f>
        <v>0.12834788740019124</v>
      </c>
      <c r="L15" s="3">
        <f>'1_LDV calcs'!H44</f>
        <v>0.12920488795905244</v>
      </c>
      <c r="M15" s="3">
        <f>'1_LDV calcs'!I44</f>
        <v>0.130073148784521</v>
      </c>
      <c r="N15" s="3">
        <f>'1_LDV calcs'!J44</f>
        <v>0.13095288639470876</v>
      </c>
      <c r="O15" s="3">
        <f>'1_LDV calcs'!K44</f>
        <v>0.13184432264665702</v>
      </c>
      <c r="P15" s="3">
        <f>'1_LDV calcs'!L44</f>
        <v>0.13274768489032204</v>
      </c>
      <c r="Q15" s="3">
        <f>'1_LDV calcs'!M44</f>
        <v>0.13366320612723617</v>
      </c>
      <c r="R15" s="3">
        <f>'1_LDV calcs'!N44</f>
        <v>0.13459112517396046</v>
      </c>
      <c r="S15" s="3">
        <f>'1_LDV calcs'!O44</f>
        <v>0.13553168683044178</v>
      </c>
      <c r="T15" s="3">
        <f>'1_LDV calcs'!P44</f>
        <v>0.13648514205338619</v>
      </c>
      <c r="U15" s="3">
        <f>'1_LDV calcs'!Q44</f>
        <v>0.13745174813475602</v>
      </c>
      <c r="V15" s="3">
        <f>'1_LDV calcs'!R44</f>
        <v>0.13843176888549444</v>
      </c>
      <c r="W15" s="3">
        <f>'1_LDV calcs'!S44</f>
        <v>0.13942547482457404</v>
      </c>
      <c r="X15" s="3">
        <f>'1_LDV calcs'!T44</f>
        <v>0.14043314337346202</v>
      </c>
      <c r="Y15" s="3">
        <f>'1_LDV calcs'!U44</f>
        <v>0.14145505905608258</v>
      </c>
      <c r="Z15" s="3">
        <f>'1_LDV calcs'!V44</f>
        <v>0.14249151370435023</v>
      </c>
      <c r="AA15" s="3">
        <f>'1_LDV calcs'!W44</f>
        <v>0.14354280666933295</v>
      </c>
      <c r="AB15" s="3">
        <f>'1_LDV calcs'!X44</f>
        <v>0.14460924503809186</v>
      </c>
      <c r="AC15" s="3">
        <f>'1_LDV calcs'!Y44</f>
        <v>0.14569114385622572</v>
      </c>
      <c r="AD15" s="3">
        <f>'1_LDV calcs'!Z44</f>
        <v>0.14678882635612991</v>
      </c>
      <c r="AE15" s="3">
        <f>'1_LDV calcs'!AA44</f>
        <v>0.14790262419095634</v>
      </c>
      <c r="AF15" s="3">
        <f>'1_LDV calcs'!AB44</f>
        <v>0.14903287767423357</v>
      </c>
      <c r="AG15" s="3">
        <f>'1_LDV calcs'!AC44</f>
        <v>0.15017993602507645</v>
      </c>
      <c r="AH15" s="3">
        <f>'1_LDV calcs'!AD44</f>
        <v>0.15134415761887943</v>
      </c>
      <c r="AI15" s="3">
        <f>'1_LDV calcs'!AE44</f>
        <v>0.15252591024334519</v>
      </c>
      <c r="AJ15" s="3">
        <f>'1_LDV calcs'!AF44</f>
        <v>0.15372557135965603</v>
      </c>
      <c r="AK15" s="3">
        <f>'1_LDV calcs'!AG44</f>
        <v>0.15494352836854014</v>
      </c>
      <c r="AL15" s="3">
        <f>'1_LDV calcs'!AH44</f>
        <v>0.15618017888092389</v>
      </c>
      <c r="AM15" s="3">
        <f>'1_LDV calcs'!AI44</f>
        <v>0.15743593099279266</v>
      </c>
      <c r="AN15" s="3">
        <f>'1_LDV calcs'!AJ44</f>
        <v>0.158711203563801</v>
      </c>
      <c r="AO15" s="3">
        <f>'1_LDV calcs'!AK44</f>
        <v>0.16000642649908389</v>
      </c>
      <c r="AP15" s="3">
        <f>'1_LDV calcs'!AL44</f>
        <v>0.16132204103361669</v>
      </c>
      <c r="AQ15" s="3">
        <f>'1_LDV calcs'!AM44</f>
        <v>0.16265850001835364</v>
      </c>
      <c r="AR15" s="3">
        <f>'1_LDV calcs'!AN44</f>
        <v>0.16401626820724113</v>
      </c>
      <c r="AS15" s="3">
        <f>'1_LDV calcs'!AO44</f>
        <v>0.16539582254405094</v>
      </c>
      <c r="AT15" s="3">
        <f>'1_LDV calcs'!AP44</f>
        <v>0.16679765244780362</v>
      </c>
      <c r="AU15" s="3">
        <f>'1_LDV calcs'!AQ44</f>
        <v>0.16822226009536029</v>
      </c>
      <c r="AV15" s="3">
        <f>'1_LDV calcs'!AR44</f>
        <v>0.16967016069953378</v>
      </c>
      <c r="AW15" s="3">
        <f>'1_LDV calcs'!AS44</f>
        <v>0.17114188278082237</v>
      </c>
      <c r="AX15" s="3">
        <f>'1_LDV calcs'!AT44</f>
        <v>0.1726379684305793</v>
      </c>
      <c r="AY15" s="3">
        <f>'1_LDV calcs'!AU44</f>
        <v>0.17415897356310808</v>
      </c>
      <c r="AZ15" s="3">
        <f>'1_LDV calcs'!AV44</f>
        <v>0.17570546815380525</v>
      </c>
      <c r="BA15" s="3">
        <f>'1_LDV calcs'!AW44</f>
        <v>0.17727803646005172</v>
      </c>
      <c r="BB15" s="3">
        <f>'1_LDV calcs'!AX44</f>
        <v>0.17887727722108113</v>
      </c>
      <c r="BC15" s="3">
        <f>'1_LDV calcs'!AY44</f>
        <v>0.18050380383251274</v>
      </c>
      <c r="BD15" s="3">
        <f>'1_LDV calcs'!AZ44</f>
        <v>0.18215824449062695</v>
      </c>
      <c r="BE15" s="3">
        <f>'1_LDV calcs'!BA44</f>
        <v>0.1838412423007636</v>
      </c>
      <c r="BF15" s="3">
        <f>'1_LDV calcs'!BB44</f>
        <v>0.18555345534343634</v>
      </c>
      <c r="BG15" s="3">
        <f>'1_LDV calcs'!BC44</f>
        <v>0.18729555669085923</v>
      </c>
      <c r="BH15" s="3">
        <f>'1_LDV calcs'!BD44</f>
        <v>0.18906823436556322</v>
      </c>
      <c r="BI15" s="3">
        <f>'1_LDV calcs'!BE44</f>
        <v>0.19087219123162064</v>
      </c>
      <c r="BJ15" s="3">
        <f>'1_LDV calcs'!BF44</f>
        <v>0.19270814480768078</v>
      </c>
      <c r="BK15" s="3">
        <f>'1_LDV calcs'!BG44</f>
        <v>0.1945768269895192</v>
      </c>
      <c r="BL15" s="3">
        <f>'1_LDV calcs'!BH44</f>
        <v>0.19647898366809993</v>
      </c>
      <c r="BM15" s="3">
        <f>'1_LDV calcs'!BI44</f>
        <v>0.19841537422720659</v>
      </c>
      <c r="BN15" s="3">
        <f>'1_LDV calcs'!BJ44</f>
        <v>0.20038677090248758</v>
      </c>
      <c r="BO15" s="3">
        <f>'1_LDV calcs'!BK44</f>
        <v>0.20239395798124094</v>
      </c>
      <c r="BP15" s="3">
        <f>'1_LDV calcs'!BL44</f>
        <v>0.20443773081939207</v>
      </c>
    </row>
    <row r="16" spans="1:68" s="2" customFormat="1">
      <c r="A16" s="2" t="s">
        <v>670</v>
      </c>
      <c r="B16" s="300" t="s">
        <v>677</v>
      </c>
      <c r="C16" s="300" t="s">
        <v>678</v>
      </c>
      <c r="D16" s="300" t="s">
        <v>679</v>
      </c>
      <c r="E16" s="300" t="s">
        <v>675</v>
      </c>
      <c r="F16" s="2" t="s">
        <v>681</v>
      </c>
      <c r="G16" s="2" t="s">
        <v>680</v>
      </c>
      <c r="H16" s="3">
        <f>'1_LDV calcs'!D44</f>
        <v>0.12584235911910077</v>
      </c>
      <c r="I16" s="3">
        <f>'1_LDV calcs'!E44</f>
        <v>0.12666682681237498</v>
      </c>
      <c r="J16" s="3">
        <f>'1_LDV calcs'!F44</f>
        <v>0.12750193577932861</v>
      </c>
      <c r="K16" s="3">
        <f>'1_LDV calcs'!G44</f>
        <v>0.12834788740019124</v>
      </c>
      <c r="L16" s="3">
        <f>'1_LDV calcs'!H44</f>
        <v>0.12920488795905244</v>
      </c>
      <c r="M16" s="3">
        <f>'1_LDV calcs'!I44</f>
        <v>0.130073148784521</v>
      </c>
      <c r="N16" s="3">
        <f>'1_LDV calcs'!J44</f>
        <v>0.13095288639470876</v>
      </c>
      <c r="O16" s="3">
        <f>'1_LDV calcs'!K44</f>
        <v>0.13184432264665702</v>
      </c>
      <c r="P16" s="3">
        <f>'1_LDV calcs'!L44</f>
        <v>0.13274768489032204</v>
      </c>
      <c r="Q16" s="3">
        <f>'1_LDV calcs'!M44</f>
        <v>0.13366320612723617</v>
      </c>
      <c r="R16" s="3">
        <f>'1_LDV calcs'!N44</f>
        <v>0.13459112517396046</v>
      </c>
      <c r="S16" s="3">
        <f>'1_LDV calcs'!O44</f>
        <v>0.13553168683044178</v>
      </c>
      <c r="T16" s="3">
        <f>'1_LDV calcs'!P44</f>
        <v>0.13648514205338619</v>
      </c>
      <c r="U16" s="3">
        <f>'1_LDV calcs'!Q44</f>
        <v>0.13745174813475602</v>
      </c>
      <c r="V16" s="3">
        <f>'1_LDV calcs'!R44</f>
        <v>0.13843176888549444</v>
      </c>
      <c r="W16" s="3">
        <f>'1_LDV calcs'!S44</f>
        <v>0.13942547482457404</v>
      </c>
      <c r="X16" s="3">
        <f>'1_LDV calcs'!T44</f>
        <v>0.14043314337346202</v>
      </c>
      <c r="Y16" s="3">
        <f>'1_LDV calcs'!U44</f>
        <v>0.14145505905608258</v>
      </c>
      <c r="Z16" s="3">
        <f>'1_LDV calcs'!V44</f>
        <v>0.14249151370435023</v>
      </c>
      <c r="AA16" s="3">
        <f>'1_LDV calcs'!W44</f>
        <v>0.14354280666933295</v>
      </c>
      <c r="AB16" s="3">
        <f>'1_LDV calcs'!X44</f>
        <v>0.14460924503809186</v>
      </c>
      <c r="AC16" s="3">
        <f>'1_LDV calcs'!Y44</f>
        <v>0.14569114385622572</v>
      </c>
      <c r="AD16" s="3">
        <f>'1_LDV calcs'!Z44</f>
        <v>0.14678882635612991</v>
      </c>
      <c r="AE16" s="3">
        <f>'1_LDV calcs'!AA44</f>
        <v>0.14790262419095634</v>
      </c>
      <c r="AF16" s="3">
        <f>'1_LDV calcs'!AB44</f>
        <v>0.14903287767423357</v>
      </c>
      <c r="AG16" s="3">
        <f>'1_LDV calcs'!AC44</f>
        <v>0.15017993602507645</v>
      </c>
      <c r="AH16" s="3">
        <f>'1_LDV calcs'!AD44</f>
        <v>0.15134415761887943</v>
      </c>
      <c r="AI16" s="3">
        <f>'1_LDV calcs'!AE44</f>
        <v>0.15252591024334519</v>
      </c>
      <c r="AJ16" s="3">
        <f>'1_LDV calcs'!AF44</f>
        <v>0.15372557135965603</v>
      </c>
      <c r="AK16" s="3">
        <f>'1_LDV calcs'!AG44</f>
        <v>0.15494352836854014</v>
      </c>
      <c r="AL16" s="3">
        <f>'1_LDV calcs'!AH44</f>
        <v>0.15618017888092389</v>
      </c>
      <c r="AM16" s="3">
        <f>'1_LDV calcs'!AI44</f>
        <v>0.15743593099279266</v>
      </c>
      <c r="AN16" s="3">
        <f>'1_LDV calcs'!AJ44</f>
        <v>0.158711203563801</v>
      </c>
      <c r="AO16" s="3">
        <f>'1_LDV calcs'!AK44</f>
        <v>0.16000642649908389</v>
      </c>
      <c r="AP16" s="3">
        <f>'1_LDV calcs'!AL44</f>
        <v>0.16132204103361669</v>
      </c>
      <c r="AQ16" s="3">
        <f>'1_LDV calcs'!AM44</f>
        <v>0.16265850001835364</v>
      </c>
      <c r="AR16" s="3">
        <f>'1_LDV calcs'!AN44</f>
        <v>0.16401626820724113</v>
      </c>
      <c r="AS16" s="3">
        <f>'1_LDV calcs'!AO44</f>
        <v>0.16539582254405094</v>
      </c>
      <c r="AT16" s="3">
        <f>'1_LDV calcs'!AP44</f>
        <v>0.16679765244780362</v>
      </c>
      <c r="AU16" s="3">
        <f>'1_LDV calcs'!AQ44</f>
        <v>0.16822226009536029</v>
      </c>
      <c r="AV16" s="3">
        <f>'1_LDV calcs'!AR44</f>
        <v>0.16967016069953378</v>
      </c>
      <c r="AW16" s="3">
        <f>'1_LDV calcs'!AS44</f>
        <v>0.17114188278082237</v>
      </c>
      <c r="AX16" s="3">
        <f>'1_LDV calcs'!AT44</f>
        <v>0.1726379684305793</v>
      </c>
      <c r="AY16" s="3">
        <f>'1_LDV calcs'!AU44</f>
        <v>0.17415897356310808</v>
      </c>
      <c r="AZ16" s="3">
        <f>'1_LDV calcs'!AV44</f>
        <v>0.17570546815380525</v>
      </c>
      <c r="BA16" s="3">
        <f>'1_LDV calcs'!AW44</f>
        <v>0.17727803646005172</v>
      </c>
      <c r="BB16" s="3">
        <f>'1_LDV calcs'!AX44</f>
        <v>0.17887727722108113</v>
      </c>
      <c r="BC16" s="3">
        <f>'1_LDV calcs'!AY44</f>
        <v>0.18050380383251274</v>
      </c>
      <c r="BD16" s="3">
        <f>'1_LDV calcs'!AZ44</f>
        <v>0.18215824449062695</v>
      </c>
      <c r="BE16" s="3">
        <f>'1_LDV calcs'!BA44</f>
        <v>0.1838412423007636</v>
      </c>
      <c r="BF16" s="3">
        <f>'1_LDV calcs'!BB44</f>
        <v>0.18555345534343634</v>
      </c>
      <c r="BG16" s="3">
        <f>'1_LDV calcs'!BC44</f>
        <v>0.18729555669085923</v>
      </c>
      <c r="BH16" s="3">
        <f>'1_LDV calcs'!BD44</f>
        <v>0.18906823436556322</v>
      </c>
      <c r="BI16" s="3">
        <f>'1_LDV calcs'!BE44</f>
        <v>0.19087219123162064</v>
      </c>
      <c r="BJ16" s="3">
        <f>'1_LDV calcs'!BF44</f>
        <v>0.19270814480768078</v>
      </c>
      <c r="BK16" s="3">
        <f>'1_LDV calcs'!BG44</f>
        <v>0.1945768269895192</v>
      </c>
      <c r="BL16" s="3">
        <f>'1_LDV calcs'!BH44</f>
        <v>0.19647898366809993</v>
      </c>
      <c r="BM16" s="3">
        <f>'1_LDV calcs'!BI44</f>
        <v>0.19841537422720659</v>
      </c>
      <c r="BN16" s="3">
        <f>'1_LDV calcs'!BJ44</f>
        <v>0.20038677090248758</v>
      </c>
      <c r="BO16" s="3">
        <f>'1_LDV calcs'!BK44</f>
        <v>0.20239395798124094</v>
      </c>
      <c r="BP16" s="3">
        <f>'1_LDV calcs'!BL44</f>
        <v>0.20443773081939207</v>
      </c>
    </row>
    <row r="17" spans="1:68" s="2" customFormat="1">
      <c r="A17" s="2" t="s">
        <v>671</v>
      </c>
      <c r="B17" s="300" t="s">
        <v>677</v>
      </c>
      <c r="C17" s="300" t="s">
        <v>678</v>
      </c>
      <c r="D17" s="300" t="s">
        <v>679</v>
      </c>
      <c r="E17" s="300" t="s">
        <v>675</v>
      </c>
      <c r="F17" s="2" t="s">
        <v>681</v>
      </c>
      <c r="G17" s="2" t="s">
        <v>680</v>
      </c>
      <c r="H17" s="3">
        <f>'1_LDV calcs'!D44</f>
        <v>0.12584235911910077</v>
      </c>
      <c r="I17" s="3">
        <f>'1_LDV calcs'!E44</f>
        <v>0.12666682681237498</v>
      </c>
      <c r="J17" s="3">
        <f>'1_LDV calcs'!F44</f>
        <v>0.12750193577932861</v>
      </c>
      <c r="K17" s="3">
        <f>'1_LDV calcs'!G44</f>
        <v>0.12834788740019124</v>
      </c>
      <c r="L17" s="3">
        <f>'1_LDV calcs'!H44</f>
        <v>0.12920488795905244</v>
      </c>
      <c r="M17" s="3">
        <f>'1_LDV calcs'!I44</f>
        <v>0.130073148784521</v>
      </c>
      <c r="N17" s="3">
        <f>'1_LDV calcs'!J44</f>
        <v>0.13095288639470876</v>
      </c>
      <c r="O17" s="3">
        <f>'1_LDV calcs'!K44</f>
        <v>0.13184432264665702</v>
      </c>
      <c r="P17" s="3">
        <f>'1_LDV calcs'!L44</f>
        <v>0.13274768489032204</v>
      </c>
      <c r="Q17" s="3">
        <f>'1_LDV calcs'!M44</f>
        <v>0.13366320612723617</v>
      </c>
      <c r="R17" s="3">
        <f>'1_LDV calcs'!N44</f>
        <v>0.13459112517396046</v>
      </c>
      <c r="S17" s="3">
        <f>'1_LDV calcs'!O44</f>
        <v>0.13553168683044178</v>
      </c>
      <c r="T17" s="3">
        <f>'1_LDV calcs'!P44</f>
        <v>0.13648514205338619</v>
      </c>
      <c r="U17" s="3">
        <f>'1_LDV calcs'!Q44</f>
        <v>0.13745174813475602</v>
      </c>
      <c r="V17" s="3">
        <f>'1_LDV calcs'!R44</f>
        <v>0.13843176888549444</v>
      </c>
      <c r="W17" s="3">
        <f>'1_LDV calcs'!S44</f>
        <v>0.13942547482457404</v>
      </c>
      <c r="X17" s="3">
        <f>'1_LDV calcs'!T44</f>
        <v>0.14043314337346202</v>
      </c>
      <c r="Y17" s="3">
        <f>'1_LDV calcs'!U44</f>
        <v>0.14145505905608258</v>
      </c>
      <c r="Z17" s="3">
        <f>'1_LDV calcs'!V44</f>
        <v>0.14249151370435023</v>
      </c>
      <c r="AA17" s="3">
        <f>'1_LDV calcs'!W44</f>
        <v>0.14354280666933295</v>
      </c>
      <c r="AB17" s="3">
        <f>'1_LDV calcs'!X44</f>
        <v>0.14460924503809186</v>
      </c>
      <c r="AC17" s="3">
        <f>'1_LDV calcs'!Y44</f>
        <v>0.14569114385622572</v>
      </c>
      <c r="AD17" s="3">
        <f>'1_LDV calcs'!Z44</f>
        <v>0.14678882635612991</v>
      </c>
      <c r="AE17" s="3">
        <f>'1_LDV calcs'!AA44</f>
        <v>0.14790262419095634</v>
      </c>
      <c r="AF17" s="3">
        <f>'1_LDV calcs'!AB44</f>
        <v>0.14903287767423357</v>
      </c>
      <c r="AG17" s="3">
        <f>'1_LDV calcs'!AC44</f>
        <v>0.15017993602507645</v>
      </c>
      <c r="AH17" s="3">
        <f>'1_LDV calcs'!AD44</f>
        <v>0.15134415761887943</v>
      </c>
      <c r="AI17" s="3">
        <f>'1_LDV calcs'!AE44</f>
        <v>0.15252591024334519</v>
      </c>
      <c r="AJ17" s="3">
        <f>'1_LDV calcs'!AF44</f>
        <v>0.15372557135965603</v>
      </c>
      <c r="AK17" s="3">
        <f>'1_LDV calcs'!AG44</f>
        <v>0.15494352836854014</v>
      </c>
      <c r="AL17" s="3">
        <f>'1_LDV calcs'!AH44</f>
        <v>0.15618017888092389</v>
      </c>
      <c r="AM17" s="3">
        <f>'1_LDV calcs'!AI44</f>
        <v>0.15743593099279266</v>
      </c>
      <c r="AN17" s="3">
        <f>'1_LDV calcs'!AJ44</f>
        <v>0.158711203563801</v>
      </c>
      <c r="AO17" s="3">
        <f>'1_LDV calcs'!AK44</f>
        <v>0.16000642649908389</v>
      </c>
      <c r="AP17" s="3">
        <f>'1_LDV calcs'!AL44</f>
        <v>0.16132204103361669</v>
      </c>
      <c r="AQ17" s="3">
        <f>'1_LDV calcs'!AM44</f>
        <v>0.16265850001835364</v>
      </c>
      <c r="AR17" s="3">
        <f>'1_LDV calcs'!AN44</f>
        <v>0.16401626820724113</v>
      </c>
      <c r="AS17" s="3">
        <f>'1_LDV calcs'!AO44</f>
        <v>0.16539582254405094</v>
      </c>
      <c r="AT17" s="3">
        <f>'1_LDV calcs'!AP44</f>
        <v>0.16679765244780362</v>
      </c>
      <c r="AU17" s="3">
        <f>'1_LDV calcs'!AQ44</f>
        <v>0.16822226009536029</v>
      </c>
      <c r="AV17" s="3">
        <f>'1_LDV calcs'!AR44</f>
        <v>0.16967016069953378</v>
      </c>
      <c r="AW17" s="3">
        <f>'1_LDV calcs'!AS44</f>
        <v>0.17114188278082237</v>
      </c>
      <c r="AX17" s="3">
        <f>'1_LDV calcs'!AT44</f>
        <v>0.1726379684305793</v>
      </c>
      <c r="AY17" s="3">
        <f>'1_LDV calcs'!AU44</f>
        <v>0.17415897356310808</v>
      </c>
      <c r="AZ17" s="3">
        <f>'1_LDV calcs'!AV44</f>
        <v>0.17570546815380525</v>
      </c>
      <c r="BA17" s="3">
        <f>'1_LDV calcs'!AW44</f>
        <v>0.17727803646005172</v>
      </c>
      <c r="BB17" s="3">
        <f>'1_LDV calcs'!AX44</f>
        <v>0.17887727722108113</v>
      </c>
      <c r="BC17" s="3">
        <f>'1_LDV calcs'!AY44</f>
        <v>0.18050380383251274</v>
      </c>
      <c r="BD17" s="3">
        <f>'1_LDV calcs'!AZ44</f>
        <v>0.18215824449062695</v>
      </c>
      <c r="BE17" s="3">
        <f>'1_LDV calcs'!BA44</f>
        <v>0.1838412423007636</v>
      </c>
      <c r="BF17" s="3">
        <f>'1_LDV calcs'!BB44</f>
        <v>0.18555345534343634</v>
      </c>
      <c r="BG17" s="3">
        <f>'1_LDV calcs'!BC44</f>
        <v>0.18729555669085923</v>
      </c>
      <c r="BH17" s="3">
        <f>'1_LDV calcs'!BD44</f>
        <v>0.18906823436556322</v>
      </c>
      <c r="BI17" s="3">
        <f>'1_LDV calcs'!BE44</f>
        <v>0.19087219123162064</v>
      </c>
      <c r="BJ17" s="3">
        <f>'1_LDV calcs'!BF44</f>
        <v>0.19270814480768078</v>
      </c>
      <c r="BK17" s="3">
        <f>'1_LDV calcs'!BG44</f>
        <v>0.1945768269895192</v>
      </c>
      <c r="BL17" s="3">
        <f>'1_LDV calcs'!BH44</f>
        <v>0.19647898366809993</v>
      </c>
      <c r="BM17" s="3">
        <f>'1_LDV calcs'!BI44</f>
        <v>0.19841537422720659</v>
      </c>
      <c r="BN17" s="3">
        <f>'1_LDV calcs'!BJ44</f>
        <v>0.20038677090248758</v>
      </c>
      <c r="BO17" s="3">
        <f>'1_LDV calcs'!BK44</f>
        <v>0.20239395798124094</v>
      </c>
      <c r="BP17" s="3">
        <f>'1_LDV calcs'!BL44</f>
        <v>0.20443773081939207</v>
      </c>
    </row>
    <row r="18" spans="1:68" s="2" customFormat="1">
      <c r="A18" s="2" t="s">
        <v>672</v>
      </c>
      <c r="B18" s="300" t="s">
        <v>677</v>
      </c>
      <c r="C18" s="300" t="s">
        <v>678</v>
      </c>
      <c r="D18" s="300" t="s">
        <v>679</v>
      </c>
      <c r="E18" s="300" t="s">
        <v>675</v>
      </c>
      <c r="F18" s="2" t="s">
        <v>681</v>
      </c>
      <c r="G18" s="2" t="s">
        <v>680</v>
      </c>
      <c r="H18" s="3">
        <f>'1_LDV calcs'!D45</f>
        <v>0.16911048590643568</v>
      </c>
      <c r="I18" s="3">
        <f>'1_LDV calcs'!E45</f>
        <v>0.16989501555822042</v>
      </c>
      <c r="J18" s="3">
        <f>'1_LDV calcs'!F45</f>
        <v>0.17068647571798634</v>
      </c>
      <c r="K18" s="3">
        <f>'1_LDV calcs'!G45</f>
        <v>0.1714849508501998</v>
      </c>
      <c r="L18" s="3">
        <f>'1_LDV calcs'!H45</f>
        <v>0.17229052657508423</v>
      </c>
      <c r="M18" s="3">
        <f>'1_LDV calcs'!I45</f>
        <v>0.17310328967977764</v>
      </c>
      <c r="N18" s="3">
        <f>'1_LDV calcs'!J45</f>
        <v>0.17392332812913469</v>
      </c>
      <c r="O18" s="3">
        <f>'1_LDV calcs'!K45</f>
        <v>0.17475073107612907</v>
      </c>
      <c r="P18" s="3">
        <f>'1_LDV calcs'!L45</f>
        <v>0.17558558887181139</v>
      </c>
      <c r="Q18" s="3">
        <f>'1_LDV calcs'!M45</f>
        <v>0.17642799307477144</v>
      </c>
      <c r="R18" s="3">
        <f>'1_LDV calcs'!N45</f>
        <v>0.17727803646005158</v>
      </c>
      <c r="S18" s="3">
        <f>'1_LDV calcs'!O45</f>
        <v>0.17813581302745424</v>
      </c>
      <c r="T18" s="3">
        <f>'1_LDV calcs'!P45</f>
        <v>0.17900141800918079</v>
      </c>
      <c r="U18" s="3">
        <f>'1_LDV calcs'!Q45</f>
        <v>0.1798749478767365</v>
      </c>
      <c r="V18" s="3">
        <f>'1_LDV calcs'!R45</f>
        <v>0.18075650034702881</v>
      </c>
      <c r="W18" s="3">
        <f>'1_LDV calcs'!S45</f>
        <v>0.18164617438758451</v>
      </c>
      <c r="X18" s="3">
        <f>'1_LDV calcs'!T45</f>
        <v>0.18254407022080119</v>
      </c>
      <c r="Y18" s="3">
        <f>'1_LDV calcs'!U45</f>
        <v>0.1834502893271468</v>
      </c>
      <c r="Z18" s="3">
        <f>'1_LDV calcs'!V45</f>
        <v>0.18436493444721222</v>
      </c>
      <c r="AA18" s="3">
        <f>'1_LDV calcs'!W45</f>
        <v>0.18528810958251477</v>
      </c>
      <c r="AB18" s="3">
        <f>'1_LDV calcs'!X45</f>
        <v>0.18621991999494431</v>
      </c>
      <c r="AC18" s="3">
        <f>'1_LDV calcs'!Y45</f>
        <v>0.18716047220473522</v>
      </c>
      <c r="AD18" s="3">
        <f>'1_LDV calcs'!Z45</f>
        <v>0.18810987398683918</v>
      </c>
      <c r="AE18" s="3">
        <f>'1_LDV calcs'!AA45</f>
        <v>0.18906823436556308</v>
      </c>
      <c r="AF18" s="3">
        <f>'1_LDV calcs'!AB45</f>
        <v>0.19003566360733065</v>
      </c>
      <c r="AG18" s="3">
        <f>'1_LDV calcs'!AC45</f>
        <v>0.19101227321140993</v>
      </c>
      <c r="AH18" s="3">
        <f>'1_LDV calcs'!AD45</f>
        <v>0.19199817589844387</v>
      </c>
      <c r="AI18" s="3">
        <f>'1_LDV calcs'!AE45</f>
        <v>0.19299348559660445</v>
      </c>
      <c r="AJ18" s="3">
        <f>'1_LDV calcs'!AF45</f>
        <v>0.19399831742518039</v>
      </c>
      <c r="AK18" s="3">
        <f>'1_LDV calcs'!AG45</f>
        <v>0.19501278767539415</v>
      </c>
      <c r="AL18" s="3">
        <f>'1_LDV calcs'!AH45</f>
        <v>0.1960370137882288</v>
      </c>
      <c r="AM18" s="3">
        <f>'1_LDV calcs'!AI45</f>
        <v>0.19707111432902985</v>
      </c>
      <c r="AN18" s="3">
        <f>'1_LDV calcs'!AJ45</f>
        <v>0.19811520895862947</v>
      </c>
      <c r="AO18" s="3">
        <f>'1_LDV calcs'!AK45</f>
        <v>0.1991694184007238</v>
      </c>
      <c r="AP18" s="3">
        <f>'1_LDV calcs'!AL45</f>
        <v>0.20023386440521179</v>
      </c>
      <c r="AQ18" s="3">
        <f>'1_LDV calcs'!AM45</f>
        <v>0.20130866970718608</v>
      </c>
      <c r="AR18" s="3">
        <f>'1_LDV calcs'!AN45</f>
        <v>0.20239395798124085</v>
      </c>
      <c r="AS18" s="3">
        <f>'1_LDV calcs'!AO45</f>
        <v>0.20348985379074011</v>
      </c>
      <c r="AT18" s="3">
        <f>'1_LDV calcs'!AP45</f>
        <v>0.20459648253166143</v>
      </c>
      <c r="AU18" s="3">
        <f>'1_LDV calcs'!AQ45</f>
        <v>0.20571397037060377</v>
      </c>
      <c r="AV18" s="3">
        <f>'1_LDV calcs'!AR45</f>
        <v>0.20684244417651704</v>
      </c>
      <c r="AW18" s="3">
        <f>'1_LDV calcs'!AS45</f>
        <v>0.2079820314456805</v>
      </c>
      <c r="AX18" s="3">
        <f>'1_LDV calcs'!AT45</f>
        <v>0.20913286021941893</v>
      </c>
      <c r="AY18" s="3">
        <f>'1_LDV calcs'!AU45</f>
        <v>0.21029505899401368</v>
      </c>
      <c r="AZ18" s="3">
        <f>'1_LDV calcs'!AV45</f>
        <v>0.21146875662221976</v>
      </c>
      <c r="BA18" s="3">
        <f>'1_LDV calcs'!AW45</f>
        <v>0.21265408220576251</v>
      </c>
      <c r="BB18" s="3">
        <f>'1_LDV calcs'!AX45</f>
        <v>0.21385116497813733</v>
      </c>
      <c r="BC18" s="3">
        <f>'1_LDV calcs'!AY45</f>
        <v>0.21506013417698944</v>
      </c>
      <c r="BD18" s="3">
        <f>'1_LDV calcs'!AZ45</f>
        <v>0.21628111890529531</v>
      </c>
      <c r="BE18" s="3">
        <f>'1_LDV calcs'!BA45</f>
        <v>0.21751424798051106</v>
      </c>
      <c r="BF18" s="3">
        <f>'1_LDV calcs'!BB45</f>
        <v>0.2187596497707916</v>
      </c>
      <c r="BG18" s="3">
        <f>'1_LDV calcs'!BC45</f>
        <v>0.22001745201731965</v>
      </c>
      <c r="BH18" s="3">
        <f>'1_LDV calcs'!BD45</f>
        <v>0.22128778164170895</v>
      </c>
      <c r="BI18" s="3">
        <f>'1_LDV calcs'!BE45</f>
        <v>0.22257076453737568</v>
      </c>
      <c r="BJ18" s="3">
        <f>'1_LDV calcs'!BF45</f>
        <v>0.22386652534368401</v>
      </c>
      <c r="BK18" s="3">
        <f>'1_LDV calcs'!BG45</f>
        <v>0.22517518720158913</v>
      </c>
      <c r="BL18" s="3">
        <f>'1_LDV calcs'!BH45</f>
        <v>0.2264968714894032</v>
      </c>
      <c r="BM18" s="3">
        <f>'1_LDV calcs'!BI45</f>
        <v>0.22783169753720933</v>
      </c>
      <c r="BN18" s="3">
        <f>'1_LDV calcs'!BJ45</f>
        <v>0.22917978231834077</v>
      </c>
      <c r="BO18" s="3">
        <f>'1_LDV calcs'!BK45</f>
        <v>0.23054124011622393</v>
      </c>
      <c r="BP18" s="3">
        <f>'1_LDV calcs'!BL45</f>
        <v>0.23191618216475937</v>
      </c>
    </row>
    <row r="19" spans="1:68" s="2" customFormat="1">
      <c r="A19" s="2" t="s">
        <v>673</v>
      </c>
      <c r="B19" s="300" t="s">
        <v>677</v>
      </c>
      <c r="C19" s="300" t="s">
        <v>678</v>
      </c>
      <c r="D19" s="300" t="s">
        <v>679</v>
      </c>
      <c r="E19" s="300" t="s">
        <v>675</v>
      </c>
      <c r="F19" s="2" t="s">
        <v>681</v>
      </c>
      <c r="G19" s="2" t="s">
        <v>680</v>
      </c>
      <c r="H19" s="3">
        <f>'1_LDV calcs'!D45</f>
        <v>0.16911048590643568</v>
      </c>
      <c r="I19" s="3">
        <f>'1_LDV calcs'!E45</f>
        <v>0.16989501555822042</v>
      </c>
      <c r="J19" s="3">
        <f>'1_LDV calcs'!F45</f>
        <v>0.17068647571798634</v>
      </c>
      <c r="K19" s="3">
        <f>'1_LDV calcs'!G45</f>
        <v>0.1714849508501998</v>
      </c>
      <c r="L19" s="3">
        <f>'1_LDV calcs'!H45</f>
        <v>0.17229052657508423</v>
      </c>
      <c r="M19" s="3">
        <f>'1_LDV calcs'!I45</f>
        <v>0.17310328967977764</v>
      </c>
      <c r="N19" s="3">
        <f>'1_LDV calcs'!J45</f>
        <v>0.17392332812913469</v>
      </c>
      <c r="O19" s="3">
        <f>'1_LDV calcs'!K45</f>
        <v>0.17475073107612907</v>
      </c>
      <c r="P19" s="3">
        <f>'1_LDV calcs'!L45</f>
        <v>0.17558558887181139</v>
      </c>
      <c r="Q19" s="3">
        <f>'1_LDV calcs'!M45</f>
        <v>0.17642799307477144</v>
      </c>
      <c r="R19" s="3">
        <f>'1_LDV calcs'!N45</f>
        <v>0.17727803646005158</v>
      </c>
      <c r="S19" s="3">
        <f>'1_LDV calcs'!O45</f>
        <v>0.17813581302745424</v>
      </c>
      <c r="T19" s="3">
        <f>'1_LDV calcs'!P45</f>
        <v>0.17900141800918079</v>
      </c>
      <c r="U19" s="3">
        <f>'1_LDV calcs'!Q45</f>
        <v>0.1798749478767365</v>
      </c>
      <c r="V19" s="3">
        <f>'1_LDV calcs'!R45</f>
        <v>0.18075650034702881</v>
      </c>
      <c r="W19" s="3">
        <f>'1_LDV calcs'!S45</f>
        <v>0.18164617438758451</v>
      </c>
      <c r="X19" s="3">
        <f>'1_LDV calcs'!T45</f>
        <v>0.18254407022080119</v>
      </c>
      <c r="Y19" s="3">
        <f>'1_LDV calcs'!U45</f>
        <v>0.1834502893271468</v>
      </c>
      <c r="Z19" s="3">
        <f>'1_LDV calcs'!V45</f>
        <v>0.18436493444721222</v>
      </c>
      <c r="AA19" s="3">
        <f>'1_LDV calcs'!W45</f>
        <v>0.18528810958251477</v>
      </c>
      <c r="AB19" s="3">
        <f>'1_LDV calcs'!X45</f>
        <v>0.18621991999494431</v>
      </c>
      <c r="AC19" s="3">
        <f>'1_LDV calcs'!Y45</f>
        <v>0.18716047220473522</v>
      </c>
      <c r="AD19" s="3">
        <f>'1_LDV calcs'!Z45</f>
        <v>0.18810987398683918</v>
      </c>
      <c r="AE19" s="3">
        <f>'1_LDV calcs'!AA45</f>
        <v>0.18906823436556308</v>
      </c>
      <c r="AF19" s="3">
        <f>'1_LDV calcs'!AB45</f>
        <v>0.19003566360733065</v>
      </c>
      <c r="AG19" s="3">
        <f>'1_LDV calcs'!AC45</f>
        <v>0.19101227321140993</v>
      </c>
      <c r="AH19" s="3">
        <f>'1_LDV calcs'!AD45</f>
        <v>0.19199817589844387</v>
      </c>
      <c r="AI19" s="3">
        <f>'1_LDV calcs'!AE45</f>
        <v>0.19299348559660445</v>
      </c>
      <c r="AJ19" s="3">
        <f>'1_LDV calcs'!AF45</f>
        <v>0.19399831742518039</v>
      </c>
      <c r="AK19" s="3">
        <f>'1_LDV calcs'!AG45</f>
        <v>0.19501278767539415</v>
      </c>
      <c r="AL19" s="3">
        <f>'1_LDV calcs'!AH45</f>
        <v>0.1960370137882288</v>
      </c>
      <c r="AM19" s="3">
        <f>'1_LDV calcs'!AI45</f>
        <v>0.19707111432902985</v>
      </c>
      <c r="AN19" s="3">
        <f>'1_LDV calcs'!AJ45</f>
        <v>0.19811520895862947</v>
      </c>
      <c r="AO19" s="3">
        <f>'1_LDV calcs'!AK45</f>
        <v>0.1991694184007238</v>
      </c>
      <c r="AP19" s="3">
        <f>'1_LDV calcs'!AL45</f>
        <v>0.20023386440521179</v>
      </c>
      <c r="AQ19" s="3">
        <f>'1_LDV calcs'!AM45</f>
        <v>0.20130866970718608</v>
      </c>
      <c r="AR19" s="3">
        <f>'1_LDV calcs'!AN45</f>
        <v>0.20239395798124085</v>
      </c>
      <c r="AS19" s="3">
        <f>'1_LDV calcs'!AO45</f>
        <v>0.20348985379074011</v>
      </c>
      <c r="AT19" s="3">
        <f>'1_LDV calcs'!AP45</f>
        <v>0.20459648253166143</v>
      </c>
      <c r="AU19" s="3">
        <f>'1_LDV calcs'!AQ45</f>
        <v>0.20571397037060377</v>
      </c>
      <c r="AV19" s="3">
        <f>'1_LDV calcs'!AR45</f>
        <v>0.20684244417651704</v>
      </c>
      <c r="AW19" s="3">
        <f>'1_LDV calcs'!AS45</f>
        <v>0.2079820314456805</v>
      </c>
      <c r="AX19" s="3">
        <f>'1_LDV calcs'!AT45</f>
        <v>0.20913286021941893</v>
      </c>
      <c r="AY19" s="3">
        <f>'1_LDV calcs'!AU45</f>
        <v>0.21029505899401368</v>
      </c>
      <c r="AZ19" s="3">
        <f>'1_LDV calcs'!AV45</f>
        <v>0.21146875662221976</v>
      </c>
      <c r="BA19" s="3">
        <f>'1_LDV calcs'!AW45</f>
        <v>0.21265408220576251</v>
      </c>
      <c r="BB19" s="3">
        <f>'1_LDV calcs'!AX45</f>
        <v>0.21385116497813733</v>
      </c>
      <c r="BC19" s="3">
        <f>'1_LDV calcs'!AY45</f>
        <v>0.21506013417698944</v>
      </c>
      <c r="BD19" s="3">
        <f>'1_LDV calcs'!AZ45</f>
        <v>0.21628111890529531</v>
      </c>
      <c r="BE19" s="3">
        <f>'1_LDV calcs'!BA45</f>
        <v>0.21751424798051106</v>
      </c>
      <c r="BF19" s="3">
        <f>'1_LDV calcs'!BB45</f>
        <v>0.2187596497707916</v>
      </c>
      <c r="BG19" s="3">
        <f>'1_LDV calcs'!BC45</f>
        <v>0.22001745201731965</v>
      </c>
      <c r="BH19" s="3">
        <f>'1_LDV calcs'!BD45</f>
        <v>0.22128778164170895</v>
      </c>
      <c r="BI19" s="3">
        <f>'1_LDV calcs'!BE45</f>
        <v>0.22257076453737568</v>
      </c>
      <c r="BJ19" s="3">
        <f>'1_LDV calcs'!BF45</f>
        <v>0.22386652534368401</v>
      </c>
      <c r="BK19" s="3">
        <f>'1_LDV calcs'!BG45</f>
        <v>0.22517518720158913</v>
      </c>
      <c r="BL19" s="3">
        <f>'1_LDV calcs'!BH45</f>
        <v>0.2264968714894032</v>
      </c>
      <c r="BM19" s="3">
        <f>'1_LDV calcs'!BI45</f>
        <v>0.22783169753720933</v>
      </c>
      <c r="BN19" s="3">
        <f>'1_LDV calcs'!BJ45</f>
        <v>0.22917978231834077</v>
      </c>
      <c r="BO19" s="3">
        <f>'1_LDV calcs'!BK45</f>
        <v>0.23054124011622393</v>
      </c>
      <c r="BP19" s="3">
        <f>'1_LDV calcs'!BL45</f>
        <v>0.23191618216475937</v>
      </c>
    </row>
    <row r="20" spans="1:68" s="2" customFormat="1">
      <c r="A20" s="2" t="s">
        <v>674</v>
      </c>
      <c r="B20" s="300" t="s">
        <v>677</v>
      </c>
      <c r="C20" s="300" t="s">
        <v>678</v>
      </c>
      <c r="D20" s="300" t="s">
        <v>679</v>
      </c>
      <c r="E20" s="300" t="s">
        <v>675</v>
      </c>
      <c r="F20" s="2" t="s">
        <v>681</v>
      </c>
      <c r="G20" s="2" t="s">
        <v>680</v>
      </c>
      <c r="H20" s="3">
        <f>'1_LDV calcs'!D45</f>
        <v>0.16911048590643568</v>
      </c>
      <c r="I20" s="3">
        <f>'1_LDV calcs'!E45</f>
        <v>0.16989501555822042</v>
      </c>
      <c r="J20" s="3">
        <f>'1_LDV calcs'!F45</f>
        <v>0.17068647571798634</v>
      </c>
      <c r="K20" s="3">
        <f>'1_LDV calcs'!G45</f>
        <v>0.1714849508501998</v>
      </c>
      <c r="L20" s="3">
        <f>'1_LDV calcs'!H45</f>
        <v>0.17229052657508423</v>
      </c>
      <c r="M20" s="3">
        <f>'1_LDV calcs'!I45</f>
        <v>0.17310328967977764</v>
      </c>
      <c r="N20" s="3">
        <f>'1_LDV calcs'!J45</f>
        <v>0.17392332812913469</v>
      </c>
      <c r="O20" s="3">
        <f>'1_LDV calcs'!K45</f>
        <v>0.17475073107612907</v>
      </c>
      <c r="P20" s="3">
        <f>'1_LDV calcs'!L45</f>
        <v>0.17558558887181139</v>
      </c>
      <c r="Q20" s="3">
        <f>'1_LDV calcs'!M45</f>
        <v>0.17642799307477144</v>
      </c>
      <c r="R20" s="3">
        <f>'1_LDV calcs'!N45</f>
        <v>0.17727803646005158</v>
      </c>
      <c r="S20" s="3">
        <f>'1_LDV calcs'!O45</f>
        <v>0.17813581302745424</v>
      </c>
      <c r="T20" s="3">
        <f>'1_LDV calcs'!P45</f>
        <v>0.17900141800918079</v>
      </c>
      <c r="U20" s="3">
        <f>'1_LDV calcs'!Q45</f>
        <v>0.1798749478767365</v>
      </c>
      <c r="V20" s="3">
        <f>'1_LDV calcs'!R45</f>
        <v>0.18075650034702881</v>
      </c>
      <c r="W20" s="3">
        <f>'1_LDV calcs'!S45</f>
        <v>0.18164617438758451</v>
      </c>
      <c r="X20" s="3">
        <f>'1_LDV calcs'!T45</f>
        <v>0.18254407022080119</v>
      </c>
      <c r="Y20" s="3">
        <f>'1_LDV calcs'!U45</f>
        <v>0.1834502893271468</v>
      </c>
      <c r="Z20" s="3">
        <f>'1_LDV calcs'!V45</f>
        <v>0.18436493444721222</v>
      </c>
      <c r="AA20" s="3">
        <f>'1_LDV calcs'!W45</f>
        <v>0.18528810958251477</v>
      </c>
      <c r="AB20" s="3">
        <f>'1_LDV calcs'!X45</f>
        <v>0.18621991999494431</v>
      </c>
      <c r="AC20" s="3">
        <f>'1_LDV calcs'!Y45</f>
        <v>0.18716047220473522</v>
      </c>
      <c r="AD20" s="3">
        <f>'1_LDV calcs'!Z45</f>
        <v>0.18810987398683918</v>
      </c>
      <c r="AE20" s="3">
        <f>'1_LDV calcs'!AA45</f>
        <v>0.18906823436556308</v>
      </c>
      <c r="AF20" s="3">
        <f>'1_LDV calcs'!AB45</f>
        <v>0.19003566360733065</v>
      </c>
      <c r="AG20" s="3">
        <f>'1_LDV calcs'!AC45</f>
        <v>0.19101227321140993</v>
      </c>
      <c r="AH20" s="3">
        <f>'1_LDV calcs'!AD45</f>
        <v>0.19199817589844387</v>
      </c>
      <c r="AI20" s="3">
        <f>'1_LDV calcs'!AE45</f>
        <v>0.19299348559660445</v>
      </c>
      <c r="AJ20" s="3">
        <f>'1_LDV calcs'!AF45</f>
        <v>0.19399831742518039</v>
      </c>
      <c r="AK20" s="3">
        <f>'1_LDV calcs'!AG45</f>
        <v>0.19501278767539415</v>
      </c>
      <c r="AL20" s="3">
        <f>'1_LDV calcs'!AH45</f>
        <v>0.1960370137882288</v>
      </c>
      <c r="AM20" s="3">
        <f>'1_LDV calcs'!AI45</f>
        <v>0.19707111432902985</v>
      </c>
      <c r="AN20" s="3">
        <f>'1_LDV calcs'!AJ45</f>
        <v>0.19811520895862947</v>
      </c>
      <c r="AO20" s="3">
        <f>'1_LDV calcs'!AK45</f>
        <v>0.1991694184007238</v>
      </c>
      <c r="AP20" s="3">
        <f>'1_LDV calcs'!AL45</f>
        <v>0.20023386440521179</v>
      </c>
      <c r="AQ20" s="3">
        <f>'1_LDV calcs'!AM45</f>
        <v>0.20130866970718608</v>
      </c>
      <c r="AR20" s="3">
        <f>'1_LDV calcs'!AN45</f>
        <v>0.20239395798124085</v>
      </c>
      <c r="AS20" s="3">
        <f>'1_LDV calcs'!AO45</f>
        <v>0.20348985379074011</v>
      </c>
      <c r="AT20" s="3">
        <f>'1_LDV calcs'!AP45</f>
        <v>0.20459648253166143</v>
      </c>
      <c r="AU20" s="3">
        <f>'1_LDV calcs'!AQ45</f>
        <v>0.20571397037060377</v>
      </c>
      <c r="AV20" s="3">
        <f>'1_LDV calcs'!AR45</f>
        <v>0.20684244417651704</v>
      </c>
      <c r="AW20" s="3">
        <f>'1_LDV calcs'!AS45</f>
        <v>0.2079820314456805</v>
      </c>
      <c r="AX20" s="3">
        <f>'1_LDV calcs'!AT45</f>
        <v>0.20913286021941893</v>
      </c>
      <c r="AY20" s="3">
        <f>'1_LDV calcs'!AU45</f>
        <v>0.21029505899401368</v>
      </c>
      <c r="AZ20" s="3">
        <f>'1_LDV calcs'!AV45</f>
        <v>0.21146875662221976</v>
      </c>
      <c r="BA20" s="3">
        <f>'1_LDV calcs'!AW45</f>
        <v>0.21265408220576251</v>
      </c>
      <c r="BB20" s="3">
        <f>'1_LDV calcs'!AX45</f>
        <v>0.21385116497813733</v>
      </c>
      <c r="BC20" s="3">
        <f>'1_LDV calcs'!AY45</f>
        <v>0.21506013417698944</v>
      </c>
      <c r="BD20" s="3">
        <f>'1_LDV calcs'!AZ45</f>
        <v>0.21628111890529531</v>
      </c>
      <c r="BE20" s="3">
        <f>'1_LDV calcs'!BA45</f>
        <v>0.21751424798051106</v>
      </c>
      <c r="BF20" s="3">
        <f>'1_LDV calcs'!BB45</f>
        <v>0.2187596497707916</v>
      </c>
      <c r="BG20" s="3">
        <f>'1_LDV calcs'!BC45</f>
        <v>0.22001745201731965</v>
      </c>
      <c r="BH20" s="3">
        <f>'1_LDV calcs'!BD45</f>
        <v>0.22128778164170895</v>
      </c>
      <c r="BI20" s="3">
        <f>'1_LDV calcs'!BE45</f>
        <v>0.22257076453737568</v>
      </c>
      <c r="BJ20" s="3">
        <f>'1_LDV calcs'!BF45</f>
        <v>0.22386652534368401</v>
      </c>
      <c r="BK20" s="3">
        <f>'1_LDV calcs'!BG45</f>
        <v>0.22517518720158913</v>
      </c>
      <c r="BL20" s="3">
        <f>'1_LDV calcs'!BH45</f>
        <v>0.2264968714894032</v>
      </c>
      <c r="BM20" s="3">
        <f>'1_LDV calcs'!BI45</f>
        <v>0.22783169753720933</v>
      </c>
      <c r="BN20" s="3">
        <f>'1_LDV calcs'!BJ45</f>
        <v>0.22917978231834077</v>
      </c>
      <c r="BO20" s="3">
        <f>'1_LDV calcs'!BK45</f>
        <v>0.23054124011622393</v>
      </c>
      <c r="BP20" s="3">
        <f>'1_LDV calcs'!BL45</f>
        <v>0.23191618216475937</v>
      </c>
    </row>
    <row r="21" spans="1:68" s="301" customFormat="1">
      <c r="A21" s="301" t="s">
        <v>683</v>
      </c>
      <c r="B21" s="302" t="s">
        <v>677</v>
      </c>
      <c r="C21" s="302" t="s">
        <v>678</v>
      </c>
      <c r="D21" s="302" t="s">
        <v>679</v>
      </c>
      <c r="E21" s="302" t="s">
        <v>675</v>
      </c>
      <c r="F21" s="301" t="s">
        <v>681</v>
      </c>
      <c r="G21" s="301" t="s">
        <v>680</v>
      </c>
      <c r="H21" s="303">
        <f>H11</f>
        <v>0.12584235911910077</v>
      </c>
      <c r="I21" s="303">
        <f t="shared" ref="I21:BP21" si="0">I11</f>
        <v>0.12666682681237498</v>
      </c>
      <c r="J21" s="303">
        <f t="shared" si="0"/>
        <v>0.12750193577932861</v>
      </c>
      <c r="K21" s="303">
        <f t="shared" si="0"/>
        <v>0.12834788740019124</v>
      </c>
      <c r="L21" s="303">
        <f t="shared" si="0"/>
        <v>0.12920488795905244</v>
      </c>
      <c r="M21" s="303">
        <f t="shared" si="0"/>
        <v>0.130073148784521</v>
      </c>
      <c r="N21" s="303">
        <f t="shared" si="0"/>
        <v>0.13095288639470876</v>
      </c>
      <c r="O21" s="303">
        <f t="shared" si="0"/>
        <v>0.13184432264665702</v>
      </c>
      <c r="P21" s="303">
        <f t="shared" si="0"/>
        <v>0.13274768489032204</v>
      </c>
      <c r="Q21" s="303">
        <f t="shared" si="0"/>
        <v>0.13366320612723617</v>
      </c>
      <c r="R21" s="303">
        <f t="shared" si="0"/>
        <v>0.13459112517396046</v>
      </c>
      <c r="S21" s="303">
        <f t="shared" si="0"/>
        <v>0.13553168683044178</v>
      </c>
      <c r="T21" s="303">
        <f t="shared" si="0"/>
        <v>0.13648514205338619</v>
      </c>
      <c r="U21" s="303">
        <f t="shared" si="0"/>
        <v>0.13745174813475602</v>
      </c>
      <c r="V21" s="303">
        <f t="shared" si="0"/>
        <v>0.13843176888549444</v>
      </c>
      <c r="W21" s="303">
        <f t="shared" si="0"/>
        <v>0.13942547482457404</v>
      </c>
      <c r="X21" s="303">
        <f t="shared" si="0"/>
        <v>0.14043314337346202</v>
      </c>
      <c r="Y21" s="303">
        <f t="shared" si="0"/>
        <v>0.14145505905608258</v>
      </c>
      <c r="Z21" s="303">
        <f t="shared" si="0"/>
        <v>0.14249151370435023</v>
      </c>
      <c r="AA21" s="303">
        <f t="shared" si="0"/>
        <v>0.14354280666933295</v>
      </c>
      <c r="AB21" s="303">
        <f t="shared" si="0"/>
        <v>0.14460924503809186</v>
      </c>
      <c r="AC21" s="303">
        <f t="shared" si="0"/>
        <v>0.14569114385622572</v>
      </c>
      <c r="AD21" s="303">
        <f t="shared" si="0"/>
        <v>0.14678882635612991</v>
      </c>
      <c r="AE21" s="303">
        <f t="shared" si="0"/>
        <v>0.14790262419095634</v>
      </c>
      <c r="AF21" s="303">
        <f t="shared" si="0"/>
        <v>0.14903287767423357</v>
      </c>
      <c r="AG21" s="303">
        <f t="shared" si="0"/>
        <v>0.15017993602507645</v>
      </c>
      <c r="AH21" s="303">
        <f t="shared" si="0"/>
        <v>0.15134415761887943</v>
      </c>
      <c r="AI21" s="303">
        <f t="shared" si="0"/>
        <v>0.15252591024334519</v>
      </c>
      <c r="AJ21" s="303">
        <f t="shared" si="0"/>
        <v>0.15372557135965603</v>
      </c>
      <c r="AK21" s="303">
        <f t="shared" si="0"/>
        <v>0.15494352836854014</v>
      </c>
      <c r="AL21" s="303">
        <f t="shared" si="0"/>
        <v>0.15618017888092389</v>
      </c>
      <c r="AM21" s="303">
        <f t="shared" si="0"/>
        <v>0.15743593099279266</v>
      </c>
      <c r="AN21" s="303">
        <f t="shared" si="0"/>
        <v>0.158711203563801</v>
      </c>
      <c r="AO21" s="303">
        <f t="shared" si="0"/>
        <v>0.16000642649908389</v>
      </c>
      <c r="AP21" s="303">
        <f t="shared" si="0"/>
        <v>0.16132204103361669</v>
      </c>
      <c r="AQ21" s="303">
        <f t="shared" si="0"/>
        <v>0.16265850001835364</v>
      </c>
      <c r="AR21" s="303">
        <f t="shared" si="0"/>
        <v>0.16401626820724113</v>
      </c>
      <c r="AS21" s="303">
        <f t="shared" si="0"/>
        <v>0.16539582254405094</v>
      </c>
      <c r="AT21" s="303">
        <f t="shared" si="0"/>
        <v>0.16679765244780362</v>
      </c>
      <c r="AU21" s="303">
        <f t="shared" si="0"/>
        <v>0.16822226009536029</v>
      </c>
      <c r="AV21" s="303">
        <f t="shared" si="0"/>
        <v>0.16967016069953378</v>
      </c>
      <c r="AW21" s="303">
        <f t="shared" si="0"/>
        <v>0.17114188278082237</v>
      </c>
      <c r="AX21" s="303">
        <f t="shared" si="0"/>
        <v>0.1726379684305793</v>
      </c>
      <c r="AY21" s="303">
        <f t="shared" si="0"/>
        <v>0.17415897356310808</v>
      </c>
      <c r="AZ21" s="303">
        <f t="shared" si="0"/>
        <v>0.17570546815380525</v>
      </c>
      <c r="BA21" s="303">
        <f t="shared" si="0"/>
        <v>0.17727803646005172</v>
      </c>
      <c r="BB21" s="303">
        <f t="shared" si="0"/>
        <v>0.17887727722108113</v>
      </c>
      <c r="BC21" s="303">
        <f t="shared" si="0"/>
        <v>0.18050380383251274</v>
      </c>
      <c r="BD21" s="303">
        <f t="shared" si="0"/>
        <v>0.18215824449062695</v>
      </c>
      <c r="BE21" s="303">
        <f t="shared" si="0"/>
        <v>0.1838412423007636</v>
      </c>
      <c r="BF21" s="303">
        <f t="shared" si="0"/>
        <v>0.18555345534343634</v>
      </c>
      <c r="BG21" s="303">
        <f t="shared" si="0"/>
        <v>0.18729555669085923</v>
      </c>
      <c r="BH21" s="303">
        <f t="shared" si="0"/>
        <v>0.18906823436556322</v>
      </c>
      <c r="BI21" s="303">
        <f t="shared" si="0"/>
        <v>0.19087219123162064</v>
      </c>
      <c r="BJ21" s="303">
        <f t="shared" si="0"/>
        <v>0.19270814480768078</v>
      </c>
      <c r="BK21" s="303">
        <f t="shared" si="0"/>
        <v>0.1945768269895192</v>
      </c>
      <c r="BL21" s="303">
        <f t="shared" si="0"/>
        <v>0.19647898366809993</v>
      </c>
      <c r="BM21" s="303">
        <f t="shared" si="0"/>
        <v>0.19841537422720659</v>
      </c>
      <c r="BN21" s="303">
        <f t="shared" si="0"/>
        <v>0.20038677090248758</v>
      </c>
      <c r="BO21" s="303">
        <f t="shared" si="0"/>
        <v>0.20239395798124094</v>
      </c>
      <c r="BP21" s="303">
        <f t="shared" si="0"/>
        <v>0.20443773081939207</v>
      </c>
    </row>
    <row r="22" spans="1:68" s="2" customFormat="1"/>
    <row r="23" spans="1:68" s="2" customFormat="1"/>
    <row r="24" spans="1:68" s="2" customFormat="1"/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tabColor rgb="FF92D050"/>
  </sheetPr>
  <dimension ref="A1:J87"/>
  <sheetViews>
    <sheetView topLeftCell="A34" workbookViewId="0">
      <selection activeCell="D55" sqref="D55"/>
    </sheetView>
  </sheetViews>
  <sheetFormatPr defaultRowHeight="14.4"/>
  <sheetData>
    <row r="1" spans="1:10">
      <c r="A1" t="s">
        <v>23</v>
      </c>
    </row>
    <row r="5" spans="1:10">
      <c r="A5" t="s">
        <v>70</v>
      </c>
    </row>
    <row r="6" spans="1:10">
      <c r="C6" t="s">
        <v>41</v>
      </c>
      <c r="D6" t="s">
        <v>47</v>
      </c>
      <c r="E6" t="s">
        <v>42</v>
      </c>
      <c r="F6" t="s">
        <v>43</v>
      </c>
      <c r="G6" t="s">
        <v>69</v>
      </c>
      <c r="H6" t="s">
        <v>49</v>
      </c>
      <c r="I6" t="s">
        <v>44</v>
      </c>
      <c r="J6" t="s">
        <v>48</v>
      </c>
    </row>
    <row r="7" spans="1:10">
      <c r="B7" s="10">
        <v>1999.903</v>
      </c>
      <c r="C7">
        <v>35.779000000000003</v>
      </c>
      <c r="E7">
        <v>35.49</v>
      </c>
      <c r="F7">
        <v>30.08</v>
      </c>
      <c r="H7">
        <v>27.89</v>
      </c>
    </row>
    <row r="8" spans="1:10">
      <c r="B8" s="10">
        <v>2000.9659999999999</v>
      </c>
      <c r="C8">
        <v>36.948</v>
      </c>
      <c r="E8">
        <v>35.78</v>
      </c>
      <c r="F8">
        <v>30.23</v>
      </c>
      <c r="H8">
        <v>28.04</v>
      </c>
    </row>
    <row r="9" spans="1:10">
      <c r="B9" s="10">
        <v>2001.931</v>
      </c>
      <c r="C9">
        <v>38.116999999999997</v>
      </c>
      <c r="E9">
        <v>36.22</v>
      </c>
      <c r="F9">
        <v>30.67</v>
      </c>
      <c r="H9">
        <v>28.47</v>
      </c>
    </row>
    <row r="10" spans="1:10">
      <c r="B10" s="10">
        <v>2003.0260000000001</v>
      </c>
      <c r="C10">
        <v>38.555</v>
      </c>
      <c r="E10">
        <v>36.51</v>
      </c>
      <c r="F10">
        <v>31.1</v>
      </c>
      <c r="G10">
        <v>27.01</v>
      </c>
      <c r="H10">
        <v>28.91</v>
      </c>
    </row>
    <row r="11" spans="1:10">
      <c r="B11" s="10">
        <v>2003.8630000000001</v>
      </c>
      <c r="C11">
        <v>39.286000000000001</v>
      </c>
      <c r="E11">
        <v>37.090000000000003</v>
      </c>
      <c r="F11">
        <v>31.54</v>
      </c>
      <c r="G11">
        <v>28.47</v>
      </c>
      <c r="H11">
        <v>28.77</v>
      </c>
    </row>
    <row r="12" spans="1:10">
      <c r="B12" s="10">
        <v>2005.086</v>
      </c>
      <c r="C12">
        <v>39.286000000000001</v>
      </c>
      <c r="E12">
        <v>37.24</v>
      </c>
      <c r="F12">
        <v>32.130000000000003</v>
      </c>
      <c r="G12">
        <v>28.91</v>
      </c>
      <c r="H12">
        <v>29.5</v>
      </c>
    </row>
    <row r="13" spans="1:10">
      <c r="B13" s="10">
        <v>2005.923</v>
      </c>
      <c r="C13">
        <v>40.454999999999998</v>
      </c>
      <c r="D13">
        <v>39.14</v>
      </c>
      <c r="E13">
        <v>37.24</v>
      </c>
      <c r="F13">
        <v>31.4</v>
      </c>
      <c r="G13">
        <v>29.06</v>
      </c>
      <c r="H13">
        <v>28.91</v>
      </c>
    </row>
    <row r="14" spans="1:10">
      <c r="B14" s="10">
        <v>2007.0820000000001</v>
      </c>
      <c r="C14">
        <v>40.454999999999998</v>
      </c>
      <c r="E14">
        <v>38.119999999999997</v>
      </c>
      <c r="F14">
        <v>32.71</v>
      </c>
      <c r="G14">
        <v>30.08</v>
      </c>
      <c r="H14">
        <v>30.08</v>
      </c>
    </row>
    <row r="15" spans="1:10">
      <c r="B15" s="10">
        <v>2007.9829999999999</v>
      </c>
      <c r="C15">
        <v>42.207999999999998</v>
      </c>
      <c r="E15">
        <v>39.14</v>
      </c>
      <c r="F15">
        <v>33</v>
      </c>
      <c r="G15">
        <v>30.96</v>
      </c>
      <c r="H15">
        <v>30.08</v>
      </c>
    </row>
    <row r="16" spans="1:10">
      <c r="B16" s="10">
        <v>2009.0129999999999</v>
      </c>
      <c r="C16">
        <v>45.86</v>
      </c>
      <c r="D16">
        <v>42.21</v>
      </c>
      <c r="E16">
        <v>41.19</v>
      </c>
      <c r="F16">
        <v>34.61</v>
      </c>
      <c r="G16">
        <v>33.44</v>
      </c>
      <c r="H16">
        <v>31.54</v>
      </c>
      <c r="I16">
        <v>34.03</v>
      </c>
    </row>
    <row r="17" spans="1:10">
      <c r="B17" s="10">
        <v>2009.979</v>
      </c>
      <c r="C17">
        <v>46.006</v>
      </c>
      <c r="D17">
        <v>43.08</v>
      </c>
      <c r="E17">
        <v>42.5</v>
      </c>
      <c r="F17">
        <v>34.76</v>
      </c>
      <c r="G17">
        <v>34.76</v>
      </c>
      <c r="H17">
        <v>32.71</v>
      </c>
      <c r="I17">
        <v>34.46</v>
      </c>
    </row>
    <row r="18" spans="1:10">
      <c r="B18" s="10">
        <v>2011.0409999999999</v>
      </c>
      <c r="C18">
        <v>49.220999999999997</v>
      </c>
      <c r="D18">
        <v>43.67</v>
      </c>
      <c r="E18">
        <v>43.67</v>
      </c>
      <c r="F18">
        <v>34.9</v>
      </c>
      <c r="G18">
        <v>36.22</v>
      </c>
      <c r="H18">
        <v>32.130000000000003</v>
      </c>
      <c r="I18">
        <v>35.49</v>
      </c>
    </row>
    <row r="19" spans="1:10">
      <c r="B19" s="10">
        <v>2012</v>
      </c>
      <c r="D19">
        <v>43.52</v>
      </c>
      <c r="E19">
        <v>44.84</v>
      </c>
      <c r="H19">
        <v>34.17</v>
      </c>
      <c r="J19">
        <v>35.9</v>
      </c>
    </row>
    <row r="20" spans="1:10">
      <c r="B20" s="10">
        <v>2013</v>
      </c>
      <c r="H20">
        <v>34.76</v>
      </c>
    </row>
    <row r="21" spans="1:10">
      <c r="B21" s="10">
        <v>1999.9</v>
      </c>
    </row>
    <row r="22" spans="1:10">
      <c r="B22" s="10"/>
    </row>
    <row r="23" spans="1:10">
      <c r="B23" s="10"/>
    </row>
    <row r="24" spans="1:10">
      <c r="A24" t="s">
        <v>70</v>
      </c>
      <c r="B24" s="10"/>
    </row>
    <row r="25" spans="1:10">
      <c r="B25" s="10"/>
    </row>
    <row r="26" spans="1:10">
      <c r="B26" s="10"/>
    </row>
    <row r="27" spans="1:10">
      <c r="B27" s="10"/>
    </row>
    <row r="28" spans="1:10">
      <c r="B28" s="10"/>
    </row>
    <row r="29" spans="1:10">
      <c r="B29" s="10"/>
    </row>
    <row r="30" spans="1:10">
      <c r="B30" s="10"/>
    </row>
    <row r="31" spans="1:10">
      <c r="B31" s="10"/>
    </row>
    <row r="32" spans="1:10">
      <c r="B32" s="10"/>
    </row>
    <row r="33" spans="1:10">
      <c r="B33" s="10"/>
    </row>
    <row r="36" spans="1:10">
      <c r="D36" s="8" t="s">
        <v>71</v>
      </c>
      <c r="E36" s="8"/>
      <c r="F36" s="8"/>
      <c r="G36" s="8"/>
      <c r="H36" s="8"/>
    </row>
    <row r="38" spans="1:10" s="11" customFormat="1">
      <c r="B38" s="11" t="s">
        <v>69</v>
      </c>
      <c r="C38" s="11" t="s">
        <v>49</v>
      </c>
      <c r="D38" s="11" t="s">
        <v>45</v>
      </c>
      <c r="E38" s="11" t="s">
        <v>43</v>
      </c>
      <c r="F38" s="11" t="s">
        <v>42</v>
      </c>
      <c r="G38" s="11" t="s">
        <v>47</v>
      </c>
      <c r="H38" s="11" t="s">
        <v>41</v>
      </c>
      <c r="I38" s="11" t="s">
        <v>48</v>
      </c>
      <c r="J38" s="11" t="s">
        <v>44</v>
      </c>
    </row>
    <row r="39" spans="1:10">
      <c r="A39" s="14">
        <v>2000</v>
      </c>
      <c r="C39">
        <v>9.6199999999999992</v>
      </c>
      <c r="E39">
        <v>8.73</v>
      </c>
      <c r="F39">
        <v>7.35</v>
      </c>
      <c r="H39">
        <v>7.26</v>
      </c>
    </row>
    <row r="40" spans="1:10">
      <c r="A40" s="14">
        <v>2001</v>
      </c>
      <c r="C40">
        <v>9.5299999999999994</v>
      </c>
      <c r="E40">
        <v>8.73</v>
      </c>
      <c r="F40">
        <v>7.23</v>
      </c>
      <c r="H40">
        <v>6.99</v>
      </c>
    </row>
    <row r="41" spans="1:10">
      <c r="A41" s="14">
        <v>2002</v>
      </c>
      <c r="C41">
        <v>9.41</v>
      </c>
      <c r="D41">
        <v>9.1199999999999992</v>
      </c>
      <c r="E41">
        <v>8.61</v>
      </c>
      <c r="F41">
        <v>7.11</v>
      </c>
      <c r="H41">
        <v>6.73</v>
      </c>
    </row>
    <row r="42" spans="1:10">
      <c r="A42" s="12">
        <v>2002.902</v>
      </c>
      <c r="B42">
        <v>9.9410000000000007</v>
      </c>
      <c r="C42">
        <v>9.2899999999999991</v>
      </c>
      <c r="E42">
        <v>8.5</v>
      </c>
      <c r="F42">
        <v>7.11</v>
      </c>
      <c r="H42">
        <v>6.73</v>
      </c>
    </row>
    <row r="43" spans="1:10">
      <c r="A43" s="12">
        <v>2003.9079999999999</v>
      </c>
      <c r="B43">
        <v>9.3510000000000009</v>
      </c>
      <c r="C43">
        <v>9.32</v>
      </c>
      <c r="E43">
        <v>8.3800000000000008</v>
      </c>
      <c r="F43">
        <v>7.02</v>
      </c>
      <c r="H43">
        <v>6.58</v>
      </c>
    </row>
    <row r="44" spans="1:10">
      <c r="A44" s="12">
        <v>2005</v>
      </c>
      <c r="B44">
        <v>9.1449999999999996</v>
      </c>
      <c r="C44">
        <v>9.14</v>
      </c>
      <c r="E44">
        <v>8.26</v>
      </c>
      <c r="F44">
        <v>6.96</v>
      </c>
      <c r="H44">
        <v>6.55</v>
      </c>
    </row>
    <row r="45" spans="1:10">
      <c r="A45" s="12">
        <v>2005.92</v>
      </c>
      <c r="B45">
        <v>9.1449999999999996</v>
      </c>
      <c r="C45">
        <v>9.17</v>
      </c>
      <c r="D45">
        <v>8.0500000000000007</v>
      </c>
      <c r="E45">
        <v>8.44</v>
      </c>
      <c r="F45">
        <v>6.93</v>
      </c>
      <c r="G45">
        <v>6.55</v>
      </c>
      <c r="H45">
        <v>6.37</v>
      </c>
    </row>
    <row r="46" spans="1:10">
      <c r="A46" s="12">
        <v>2007.011</v>
      </c>
      <c r="B46">
        <v>8.82</v>
      </c>
      <c r="C46">
        <v>8.91</v>
      </c>
      <c r="E46">
        <v>8.02</v>
      </c>
      <c r="F46">
        <v>6.81</v>
      </c>
      <c r="H46">
        <v>6.34</v>
      </c>
    </row>
    <row r="47" spans="1:10">
      <c r="A47" s="12">
        <v>2007.989</v>
      </c>
      <c r="B47">
        <v>8.4659999999999993</v>
      </c>
      <c r="C47">
        <v>8.82</v>
      </c>
      <c r="D47">
        <v>7.96</v>
      </c>
      <c r="E47">
        <v>7.96</v>
      </c>
      <c r="F47">
        <v>6.61</v>
      </c>
      <c r="H47">
        <v>6.02</v>
      </c>
      <c r="J47">
        <v>7.96</v>
      </c>
    </row>
    <row r="48" spans="1:10">
      <c r="A48" s="12">
        <v>2008.9659999999999</v>
      </c>
      <c r="B48">
        <v>7.9059999999999997</v>
      </c>
      <c r="C48">
        <v>8.35</v>
      </c>
      <c r="E48">
        <v>7.55</v>
      </c>
      <c r="F48">
        <v>6.25</v>
      </c>
      <c r="G48">
        <v>5.99</v>
      </c>
      <c r="H48">
        <v>5.55</v>
      </c>
      <c r="J48">
        <v>7.73</v>
      </c>
    </row>
    <row r="49" spans="1:10">
      <c r="A49" s="12">
        <v>2009.885</v>
      </c>
      <c r="B49">
        <v>7.4630000000000001</v>
      </c>
      <c r="C49">
        <v>8.0500000000000007</v>
      </c>
      <c r="D49">
        <v>7.73</v>
      </c>
      <c r="E49">
        <v>7.61</v>
      </c>
      <c r="F49">
        <v>6.02</v>
      </c>
      <c r="G49">
        <v>5.9</v>
      </c>
      <c r="H49">
        <v>5.52</v>
      </c>
      <c r="J49">
        <v>7.61</v>
      </c>
    </row>
    <row r="50" spans="1:10">
      <c r="A50" s="12">
        <v>2011.0060000000001</v>
      </c>
      <c r="B50">
        <v>7.1680000000000001</v>
      </c>
      <c r="C50">
        <v>8.11</v>
      </c>
      <c r="D50">
        <v>7.61</v>
      </c>
      <c r="E50">
        <v>7.61</v>
      </c>
      <c r="F50">
        <v>5.78</v>
      </c>
      <c r="G50">
        <v>5.84</v>
      </c>
      <c r="H50">
        <v>5.07</v>
      </c>
      <c r="J50">
        <v>7.37</v>
      </c>
    </row>
    <row r="51" spans="1:10">
      <c r="A51" s="12">
        <v>2012.0060000000001</v>
      </c>
      <c r="C51">
        <v>7.64</v>
      </c>
      <c r="D51">
        <v>7.37</v>
      </c>
      <c r="E51">
        <v>7.46</v>
      </c>
      <c r="F51">
        <v>5.66</v>
      </c>
      <c r="G51">
        <v>5.84</v>
      </c>
      <c r="I51">
        <v>7.16</v>
      </c>
    </row>
    <row r="52" spans="1:10">
      <c r="A52" s="12">
        <v>2013.0060000000001</v>
      </c>
      <c r="C52">
        <v>7.52</v>
      </c>
    </row>
    <row r="74" spans="2:2">
      <c r="B74" s="10">
        <v>2007.96</v>
      </c>
    </row>
    <row r="75" spans="2:2">
      <c r="B75" s="10">
        <v>2008.91</v>
      </c>
    </row>
    <row r="76" spans="2:2">
      <c r="B76" s="10">
        <v>2010.06</v>
      </c>
    </row>
    <row r="77" spans="2:2">
      <c r="B77" s="10">
        <v>2011.01</v>
      </c>
    </row>
    <row r="78" spans="2:2">
      <c r="B78" s="10">
        <v>2003.97</v>
      </c>
    </row>
    <row r="79" spans="2:2">
      <c r="B79" s="10">
        <v>2004.94</v>
      </c>
    </row>
    <row r="80" spans="2:2">
      <c r="B80" s="10">
        <v>2005.98</v>
      </c>
    </row>
    <row r="81" spans="2:2">
      <c r="B81" s="10">
        <v>2006.95</v>
      </c>
    </row>
    <row r="82" spans="2:2">
      <c r="B82" s="10">
        <v>2007.99</v>
      </c>
    </row>
    <row r="83" spans="2:2">
      <c r="B83" s="10">
        <v>2008.91</v>
      </c>
    </row>
    <row r="84" spans="2:2">
      <c r="B84" s="10">
        <v>2010.06</v>
      </c>
    </row>
    <row r="85" spans="2:2">
      <c r="B85" s="10">
        <v>2011.01</v>
      </c>
    </row>
    <row r="86" spans="2:2">
      <c r="B86" s="10">
        <v>2012.04</v>
      </c>
    </row>
    <row r="87" spans="2:2">
      <c r="B87" s="10">
        <v>2012.96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tabColor rgb="FF92D050"/>
  </sheetPr>
  <dimension ref="A1:I33"/>
  <sheetViews>
    <sheetView topLeftCell="A4" zoomScale="85" zoomScaleNormal="85" workbookViewId="0">
      <selection activeCell="E23" sqref="E23"/>
    </sheetView>
  </sheetViews>
  <sheetFormatPr defaultRowHeight="14.4"/>
  <sheetData>
    <row r="1" spans="1:9">
      <c r="A1" t="s">
        <v>22</v>
      </c>
    </row>
    <row r="3" spans="1:9">
      <c r="B3" s="8" t="s">
        <v>68</v>
      </c>
      <c r="C3" s="8"/>
      <c r="D3" s="8"/>
    </row>
    <row r="5" spans="1:9" s="2" customFormat="1">
      <c r="B5" s="13" t="s">
        <v>49</v>
      </c>
      <c r="C5" s="13" t="s">
        <v>41</v>
      </c>
      <c r="D5" s="13" t="s">
        <v>45</v>
      </c>
      <c r="E5" s="13" t="s">
        <v>42</v>
      </c>
      <c r="F5" s="13" t="s">
        <v>43</v>
      </c>
      <c r="G5" s="13" t="s">
        <v>46</v>
      </c>
      <c r="H5" s="13" t="s">
        <v>67</v>
      </c>
      <c r="I5" s="13" t="s">
        <v>44</v>
      </c>
    </row>
    <row r="6" spans="1:9">
      <c r="A6" s="12">
        <v>1999.8979999999999</v>
      </c>
      <c r="B6">
        <v>10.32</v>
      </c>
      <c r="C6">
        <v>15.24</v>
      </c>
      <c r="E6">
        <v>14.96</v>
      </c>
      <c r="F6">
        <v>10.72</v>
      </c>
    </row>
    <row r="7" spans="1:9">
      <c r="A7" s="12">
        <v>2000.9780000000001</v>
      </c>
      <c r="B7">
        <v>10.28</v>
      </c>
      <c r="C7">
        <v>15.72</v>
      </c>
      <c r="E7">
        <v>15.16</v>
      </c>
      <c r="F7">
        <v>10.8</v>
      </c>
    </row>
    <row r="8" spans="1:9">
      <c r="A8" s="12">
        <v>2001.9970000000001</v>
      </c>
      <c r="B8">
        <v>10.24</v>
      </c>
      <c r="C8">
        <v>16.16</v>
      </c>
      <c r="D8">
        <v>12.32</v>
      </c>
      <c r="E8">
        <v>15.44</v>
      </c>
      <c r="F8">
        <v>10.84</v>
      </c>
    </row>
    <row r="9" spans="1:9">
      <c r="A9" s="12">
        <v>2003.1389999999999</v>
      </c>
      <c r="B9">
        <v>10.28</v>
      </c>
      <c r="C9">
        <v>16.32</v>
      </c>
      <c r="E9">
        <v>15.68</v>
      </c>
      <c r="F9">
        <v>11.08</v>
      </c>
      <c r="G9">
        <v>11.4</v>
      </c>
    </row>
    <row r="10" spans="1:9">
      <c r="A10" s="12">
        <v>2004.076</v>
      </c>
      <c r="B10">
        <v>10.199999999999999</v>
      </c>
      <c r="C10">
        <v>16.52</v>
      </c>
      <c r="E10">
        <v>15.84</v>
      </c>
      <c r="F10">
        <v>11.2</v>
      </c>
      <c r="G10">
        <v>12.08</v>
      </c>
    </row>
    <row r="11" spans="1:9">
      <c r="A11" s="12">
        <v>2005.136</v>
      </c>
      <c r="B11">
        <v>10.52</v>
      </c>
      <c r="C11">
        <v>16.600000000000001</v>
      </c>
      <c r="E11">
        <v>15.88</v>
      </c>
      <c r="F11">
        <v>11.36</v>
      </c>
      <c r="G11">
        <v>12.68</v>
      </c>
      <c r="H11">
        <v>11.52</v>
      </c>
    </row>
    <row r="12" spans="1:9">
      <c r="A12" s="12">
        <v>2006.2360000000001</v>
      </c>
      <c r="B12">
        <v>10.72</v>
      </c>
      <c r="C12">
        <v>17.079999999999998</v>
      </c>
      <c r="D12">
        <v>13.72</v>
      </c>
      <c r="E12">
        <v>16.04</v>
      </c>
      <c r="F12">
        <v>11.24</v>
      </c>
      <c r="G12">
        <v>13.08</v>
      </c>
      <c r="H12">
        <v>11.88</v>
      </c>
    </row>
    <row r="13" spans="1:9">
      <c r="A13" s="12">
        <v>2007.2149999999999</v>
      </c>
      <c r="B13">
        <v>10.96</v>
      </c>
      <c r="C13">
        <v>17.28</v>
      </c>
      <c r="E13">
        <v>16.2</v>
      </c>
      <c r="F13">
        <v>11.68</v>
      </c>
      <c r="G13">
        <v>13.36</v>
      </c>
      <c r="H13">
        <v>12.04</v>
      </c>
    </row>
    <row r="14" spans="1:9">
      <c r="A14" s="12">
        <v>2008.3150000000001</v>
      </c>
      <c r="B14">
        <v>11.16</v>
      </c>
      <c r="C14">
        <v>17.96</v>
      </c>
      <c r="D14">
        <v>13.92</v>
      </c>
      <c r="E14">
        <v>16.68</v>
      </c>
      <c r="F14">
        <v>12.16</v>
      </c>
      <c r="G14">
        <v>14.16</v>
      </c>
      <c r="H14">
        <v>12.24</v>
      </c>
      <c r="I14">
        <v>11.84</v>
      </c>
    </row>
    <row r="15" spans="1:9">
      <c r="A15" s="12">
        <v>2009.4970000000001</v>
      </c>
      <c r="B15">
        <v>12</v>
      </c>
      <c r="C15">
        <v>19.399999999999999</v>
      </c>
      <c r="G15">
        <v>14.72</v>
      </c>
      <c r="H15">
        <v>12.44</v>
      </c>
      <c r="I15">
        <v>12.04</v>
      </c>
    </row>
    <row r="16" spans="1:9">
      <c r="A16" s="12">
        <v>2010.394</v>
      </c>
      <c r="B16">
        <v>12</v>
      </c>
      <c r="C16">
        <v>19.600000000000001</v>
      </c>
      <c r="E16">
        <v>17.32</v>
      </c>
      <c r="H16">
        <v>12.76</v>
      </c>
      <c r="I16">
        <v>12.5</v>
      </c>
    </row>
    <row r="17" spans="1:9">
      <c r="A17" s="12">
        <v>2011.454</v>
      </c>
      <c r="B17">
        <v>12.12</v>
      </c>
      <c r="I17">
        <v>13</v>
      </c>
    </row>
    <row r="18" spans="1:9">
      <c r="A18" s="12">
        <v>2012</v>
      </c>
      <c r="B18">
        <v>12.72</v>
      </c>
    </row>
    <row r="19" spans="1:9">
      <c r="A19" s="10"/>
    </row>
    <row r="23" spans="1:9">
      <c r="A23" s="10"/>
    </row>
    <row r="24" spans="1:9">
      <c r="A24" s="10"/>
    </row>
    <row r="25" spans="1:9">
      <c r="A25" s="10"/>
    </row>
    <row r="26" spans="1:9">
      <c r="A26" s="10"/>
    </row>
    <row r="27" spans="1:9">
      <c r="B27" s="10"/>
    </row>
    <row r="28" spans="1:9">
      <c r="B28" s="10"/>
    </row>
    <row r="29" spans="1:9">
      <c r="B29" s="10"/>
    </row>
    <row r="30" spans="1:9">
      <c r="B30" s="10"/>
    </row>
    <row r="31" spans="1:9">
      <c r="B31" s="10"/>
    </row>
    <row r="32" spans="1:9">
      <c r="B32" s="10"/>
    </row>
    <row r="33" spans="2:2">
      <c r="B33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92D050"/>
  </sheetPr>
  <dimension ref="A1:K38"/>
  <sheetViews>
    <sheetView workbookViewId="0">
      <selection activeCell="F22" sqref="F22"/>
    </sheetView>
  </sheetViews>
  <sheetFormatPr defaultRowHeight="14.4"/>
  <sheetData>
    <row r="1" spans="1:11">
      <c r="A1" t="s">
        <v>24</v>
      </c>
    </row>
    <row r="3" spans="1:11">
      <c r="E3" s="8" t="s">
        <v>73</v>
      </c>
      <c r="F3" s="8"/>
      <c r="G3" s="8"/>
      <c r="H3" s="8"/>
      <c r="I3" s="8"/>
    </row>
    <row r="5" spans="1:11">
      <c r="B5" s="11" t="s">
        <v>45</v>
      </c>
      <c r="C5" s="11" t="s">
        <v>69</v>
      </c>
      <c r="D5" s="11" t="s">
        <v>49</v>
      </c>
      <c r="E5" s="11" t="s">
        <v>43</v>
      </c>
      <c r="F5" s="11" t="s">
        <v>42</v>
      </c>
      <c r="G5" s="11" t="s">
        <v>47</v>
      </c>
      <c r="H5" s="11" t="s">
        <v>41</v>
      </c>
      <c r="I5" s="11" t="s">
        <v>44</v>
      </c>
      <c r="J5" s="11" t="s">
        <v>48</v>
      </c>
      <c r="K5" s="11" t="s">
        <v>72</v>
      </c>
    </row>
    <row r="6" spans="1:11">
      <c r="A6" s="14">
        <v>2000</v>
      </c>
      <c r="D6">
        <v>8.66</v>
      </c>
      <c r="E6">
        <v>8.2100000000000009</v>
      </c>
      <c r="F6">
        <v>7.29</v>
      </c>
      <c r="H6">
        <v>7.97</v>
      </c>
    </row>
    <row r="7" spans="1:11">
      <c r="A7" s="14">
        <v>2001</v>
      </c>
      <c r="D7">
        <v>8.57</v>
      </c>
      <c r="E7">
        <v>8.18</v>
      </c>
      <c r="F7">
        <v>7.17</v>
      </c>
      <c r="H7">
        <v>7.72</v>
      </c>
    </row>
    <row r="8" spans="1:11">
      <c r="A8" s="12">
        <v>2001.82</v>
      </c>
      <c r="B8">
        <v>9.0500000000000007</v>
      </c>
      <c r="D8">
        <v>8.57</v>
      </c>
      <c r="E8">
        <v>8.0399999999999991</v>
      </c>
      <c r="F8">
        <v>7.07</v>
      </c>
      <c r="H8">
        <v>7.46</v>
      </c>
    </row>
    <row r="9" spans="1:11">
      <c r="A9" s="12">
        <v>2003</v>
      </c>
      <c r="C9">
        <v>9</v>
      </c>
      <c r="D9">
        <v>8.33</v>
      </c>
      <c r="E9">
        <v>7.94</v>
      </c>
      <c r="F9">
        <v>6.98</v>
      </c>
      <c r="H9">
        <v>7.36</v>
      </c>
    </row>
    <row r="10" spans="1:11">
      <c r="A10" s="12">
        <v>2004</v>
      </c>
      <c r="C10">
        <v>8.4700000000000006</v>
      </c>
      <c r="D10">
        <v>8.35</v>
      </c>
      <c r="E10">
        <v>7.84</v>
      </c>
      <c r="F10">
        <v>6.91</v>
      </c>
      <c r="H10">
        <v>7.24</v>
      </c>
    </row>
    <row r="11" spans="1:11">
      <c r="A11" s="12">
        <v>2005</v>
      </c>
      <c r="C11">
        <v>8.3699999999999992</v>
      </c>
      <c r="D11">
        <v>8.16</v>
      </c>
      <c r="E11">
        <v>7.7</v>
      </c>
      <c r="F11">
        <v>6.91</v>
      </c>
      <c r="H11">
        <v>7.2</v>
      </c>
    </row>
    <row r="12" spans="1:11">
      <c r="A12" s="12">
        <v>2005.91</v>
      </c>
      <c r="B12">
        <v>7.94</v>
      </c>
      <c r="C12">
        <v>8.1300000000000008</v>
      </c>
      <c r="D12">
        <v>8.18</v>
      </c>
      <c r="E12">
        <v>7.8</v>
      </c>
      <c r="F12">
        <v>6.76</v>
      </c>
      <c r="G12">
        <v>6.43</v>
      </c>
      <c r="H12">
        <v>7.07</v>
      </c>
    </row>
    <row r="13" spans="1:11">
      <c r="A13" s="12">
        <v>2006.91</v>
      </c>
      <c r="C13">
        <v>7.84</v>
      </c>
      <c r="D13">
        <v>7.84</v>
      </c>
      <c r="E13">
        <v>7.48</v>
      </c>
      <c r="F13">
        <v>6.76</v>
      </c>
      <c r="H13">
        <v>6.98</v>
      </c>
    </row>
    <row r="14" spans="1:11">
      <c r="A14" s="12">
        <v>2007.91</v>
      </c>
      <c r="B14">
        <v>7.87</v>
      </c>
      <c r="C14">
        <v>7.51</v>
      </c>
      <c r="D14">
        <v>7.84</v>
      </c>
      <c r="E14">
        <v>7.41</v>
      </c>
      <c r="F14">
        <v>6.47</v>
      </c>
      <c r="H14">
        <v>6.71</v>
      </c>
      <c r="I14">
        <v>7.44</v>
      </c>
    </row>
    <row r="15" spans="1:11">
      <c r="A15" s="12">
        <v>2008.91</v>
      </c>
      <c r="C15">
        <v>7.1</v>
      </c>
      <c r="D15">
        <v>7.46</v>
      </c>
      <c r="E15">
        <v>7.05</v>
      </c>
      <c r="F15">
        <v>6.16</v>
      </c>
      <c r="G15">
        <v>6.02</v>
      </c>
      <c r="H15">
        <v>6.21</v>
      </c>
      <c r="I15">
        <v>7.29</v>
      </c>
    </row>
    <row r="16" spans="1:11">
      <c r="A16" s="12">
        <v>2009.86</v>
      </c>
      <c r="B16">
        <v>7.63</v>
      </c>
      <c r="C16">
        <v>6.79</v>
      </c>
      <c r="D16">
        <v>7.2</v>
      </c>
      <c r="E16">
        <v>7.03</v>
      </c>
      <c r="F16">
        <v>5.97</v>
      </c>
      <c r="G16">
        <v>5.85</v>
      </c>
      <c r="H16">
        <v>6.14</v>
      </c>
      <c r="I16">
        <v>7.07</v>
      </c>
    </row>
    <row r="17" spans="1:11">
      <c r="A17" s="12">
        <v>2010.89</v>
      </c>
      <c r="B17">
        <v>7.48</v>
      </c>
      <c r="C17">
        <v>6.57</v>
      </c>
      <c r="D17">
        <v>7.36</v>
      </c>
      <c r="F17">
        <v>5.73</v>
      </c>
      <c r="G17">
        <v>5.73</v>
      </c>
      <c r="H17">
        <v>5.75</v>
      </c>
      <c r="I17">
        <v>6.88</v>
      </c>
    </row>
    <row r="18" spans="1:11">
      <c r="A18" s="12">
        <v>2011.92</v>
      </c>
      <c r="B18">
        <v>7.34</v>
      </c>
      <c r="C18">
        <v>6.28</v>
      </c>
      <c r="D18">
        <v>6.95</v>
      </c>
      <c r="F18">
        <v>5.61</v>
      </c>
      <c r="G18">
        <v>5.8</v>
      </c>
      <c r="H18">
        <v>5.39</v>
      </c>
      <c r="J18">
        <v>6.74</v>
      </c>
      <c r="K18">
        <v>6.74</v>
      </c>
    </row>
    <row r="19" spans="1:11">
      <c r="A19" s="12">
        <v>2012.95</v>
      </c>
      <c r="B19">
        <v>7.27</v>
      </c>
      <c r="C19">
        <v>6.28</v>
      </c>
      <c r="D19">
        <v>6.71</v>
      </c>
      <c r="F19">
        <v>5.34</v>
      </c>
      <c r="H19">
        <v>5.01</v>
      </c>
      <c r="I19">
        <v>6.4</v>
      </c>
    </row>
    <row r="20" spans="1:11">
      <c r="A20" s="12">
        <v>2014.02</v>
      </c>
      <c r="B20">
        <v>7.12</v>
      </c>
      <c r="D20">
        <v>6.67</v>
      </c>
      <c r="F20">
        <v>5.17</v>
      </c>
      <c r="H20">
        <v>4.8899999999999997</v>
      </c>
      <c r="I20">
        <v>6.21</v>
      </c>
    </row>
    <row r="21" spans="1:11">
      <c r="A21" s="12">
        <v>2015.03</v>
      </c>
      <c r="B21">
        <v>6.98</v>
      </c>
      <c r="G21">
        <v>5.25</v>
      </c>
    </row>
    <row r="24" spans="1:11">
      <c r="A24" s="10"/>
    </row>
    <row r="25" spans="1:11">
      <c r="A25" s="10"/>
    </row>
    <row r="26" spans="1:11">
      <c r="A26" s="10"/>
    </row>
    <row r="27" spans="1:11">
      <c r="A27" s="10"/>
    </row>
    <row r="28" spans="1:11">
      <c r="A28" s="10"/>
    </row>
    <row r="29" spans="1:11">
      <c r="A29" s="10"/>
    </row>
    <row r="30" spans="1:11">
      <c r="A30" s="10"/>
    </row>
    <row r="31" spans="1:11">
      <c r="A31" s="10"/>
    </row>
    <row r="32" spans="1:11">
      <c r="A32" s="10"/>
    </row>
    <row r="33" spans="1:1">
      <c r="A33" s="10"/>
    </row>
    <row r="34" spans="1:1">
      <c r="A34" s="10"/>
    </row>
    <row r="35" spans="1:1">
      <c r="A35" s="10"/>
    </row>
    <row r="36" spans="1:1">
      <c r="A36" s="10"/>
    </row>
    <row r="37" spans="1:1">
      <c r="A37" s="10"/>
    </row>
    <row r="38" spans="1:1">
      <c r="A38" s="10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J36"/>
  <sheetViews>
    <sheetView topLeftCell="A7" workbookViewId="0">
      <selection activeCell="K29" sqref="K29"/>
    </sheetView>
  </sheetViews>
  <sheetFormatPr defaultRowHeight="14.4"/>
  <sheetData>
    <row r="1" spans="1:10">
      <c r="A1" t="s">
        <v>8</v>
      </c>
    </row>
    <row r="2" spans="1:10">
      <c r="A2" s="4" t="s">
        <v>10</v>
      </c>
    </row>
    <row r="5" spans="1:10">
      <c r="A5" s="8" t="s">
        <v>90</v>
      </c>
      <c r="B5" s="8"/>
      <c r="C5" s="8"/>
      <c r="D5" s="8"/>
      <c r="E5" s="8"/>
      <c r="F5" s="8"/>
      <c r="G5" s="8" t="s">
        <v>91</v>
      </c>
      <c r="H5" s="8"/>
      <c r="I5" s="8"/>
      <c r="J5" s="8"/>
    </row>
    <row r="7" spans="1:10">
      <c r="A7" s="10">
        <v>1975.08</v>
      </c>
      <c r="B7">
        <v>27.76</v>
      </c>
      <c r="G7" s="10">
        <v>1975.2</v>
      </c>
      <c r="H7">
        <v>24.26</v>
      </c>
    </row>
    <row r="8" spans="1:10">
      <c r="A8" s="10">
        <v>1976.41</v>
      </c>
      <c r="B8">
        <v>30.18</v>
      </c>
      <c r="G8" s="10">
        <v>1976.49</v>
      </c>
      <c r="H8">
        <v>26.07</v>
      </c>
    </row>
    <row r="9" spans="1:10">
      <c r="A9" s="10">
        <v>1977.34</v>
      </c>
      <c r="B9">
        <v>31.16</v>
      </c>
      <c r="G9" s="10">
        <v>1977.31</v>
      </c>
      <c r="H9">
        <v>28.15</v>
      </c>
    </row>
    <row r="10" spans="1:10">
      <c r="A10" s="10">
        <v>1978.28</v>
      </c>
      <c r="B10">
        <v>30.63</v>
      </c>
      <c r="G10" s="10">
        <v>1978.53</v>
      </c>
      <c r="H10">
        <v>27.52</v>
      </c>
    </row>
    <row r="11" spans="1:10">
      <c r="A11" s="10">
        <v>1979.53</v>
      </c>
      <c r="B11">
        <v>30.1</v>
      </c>
      <c r="G11" s="10">
        <v>1979.48</v>
      </c>
      <c r="H11">
        <v>27.25</v>
      </c>
    </row>
    <row r="12" spans="1:10">
      <c r="A12" s="10">
        <v>1980.47</v>
      </c>
      <c r="B12">
        <v>31.31</v>
      </c>
      <c r="G12" s="10">
        <v>1980.57</v>
      </c>
      <c r="H12">
        <v>31.14</v>
      </c>
    </row>
    <row r="13" spans="1:10">
      <c r="A13" s="10">
        <v>1981.56</v>
      </c>
      <c r="B13">
        <v>32.97</v>
      </c>
      <c r="G13" s="10">
        <v>1981.52</v>
      </c>
      <c r="H13">
        <v>32.770000000000003</v>
      </c>
    </row>
    <row r="14" spans="1:10">
      <c r="A14" s="10">
        <v>1982.34</v>
      </c>
      <c r="B14">
        <v>34.11</v>
      </c>
      <c r="G14" s="10">
        <v>1982.33</v>
      </c>
      <c r="H14">
        <v>33.68</v>
      </c>
    </row>
    <row r="15" spans="1:10">
      <c r="A15" s="10">
        <v>1983.28</v>
      </c>
      <c r="B15">
        <v>34.71</v>
      </c>
      <c r="G15" s="10">
        <v>1983.69</v>
      </c>
      <c r="H15">
        <v>33.950000000000003</v>
      </c>
    </row>
    <row r="16" spans="1:10">
      <c r="A16" s="10">
        <v>1984.38</v>
      </c>
      <c r="B16">
        <v>35.020000000000003</v>
      </c>
      <c r="G16" s="10">
        <v>1984.37</v>
      </c>
      <c r="H16">
        <v>33.32</v>
      </c>
    </row>
    <row r="17" spans="1:8">
      <c r="A17" s="10">
        <v>1985.31</v>
      </c>
      <c r="B17">
        <v>35.700000000000003</v>
      </c>
      <c r="G17" s="10">
        <v>1985.59</v>
      </c>
      <c r="H17">
        <v>33.590000000000003</v>
      </c>
    </row>
    <row r="18" spans="1:8">
      <c r="A18" s="10">
        <v>1986.09</v>
      </c>
      <c r="B18">
        <v>36.450000000000003</v>
      </c>
      <c r="G18" s="10">
        <v>1986.4</v>
      </c>
      <c r="H18">
        <v>34.4</v>
      </c>
    </row>
    <row r="19" spans="1:8">
      <c r="A19" s="10">
        <v>1987.34</v>
      </c>
      <c r="B19">
        <v>36.450000000000003</v>
      </c>
      <c r="G19" s="10">
        <v>1987.76</v>
      </c>
      <c r="H19">
        <v>34.67</v>
      </c>
    </row>
    <row r="20" spans="1:8">
      <c r="A20" s="10">
        <v>1988.28</v>
      </c>
      <c r="B20">
        <v>37.44</v>
      </c>
      <c r="G20" s="10">
        <v>1988.71</v>
      </c>
      <c r="H20">
        <v>35.04</v>
      </c>
    </row>
    <row r="21" spans="1:8">
      <c r="A21" s="10">
        <v>1989.53</v>
      </c>
      <c r="B21">
        <v>37.44</v>
      </c>
      <c r="G21" s="10">
        <v>1989.66</v>
      </c>
      <c r="H21">
        <v>35.4</v>
      </c>
    </row>
    <row r="22" spans="1:8">
      <c r="A22" s="10">
        <v>1990.16</v>
      </c>
      <c r="B22">
        <v>37.97</v>
      </c>
      <c r="G22" s="10">
        <v>1990.48</v>
      </c>
      <c r="H22">
        <v>35.58</v>
      </c>
    </row>
    <row r="23" spans="1:8">
      <c r="A23" s="10">
        <v>1991.25</v>
      </c>
      <c r="B23">
        <v>37.74</v>
      </c>
      <c r="G23" s="10">
        <v>1991.56</v>
      </c>
      <c r="H23">
        <v>36.21</v>
      </c>
    </row>
    <row r="24" spans="1:8">
      <c r="A24" s="10">
        <v>1992.19</v>
      </c>
      <c r="B24">
        <v>38.42</v>
      </c>
      <c r="G24" s="10">
        <v>1992.51</v>
      </c>
      <c r="H24">
        <v>36.21</v>
      </c>
    </row>
    <row r="25" spans="1:8">
      <c r="A25" s="10">
        <v>1993.44</v>
      </c>
      <c r="B25">
        <v>38.65</v>
      </c>
      <c r="G25" s="10">
        <v>1993.46</v>
      </c>
      <c r="H25">
        <v>36.58</v>
      </c>
    </row>
    <row r="26" spans="1:8">
      <c r="A26" s="10">
        <v>1994.06</v>
      </c>
      <c r="B26">
        <v>39.18</v>
      </c>
      <c r="G26" s="10">
        <v>1994.55</v>
      </c>
      <c r="H26">
        <v>36.76</v>
      </c>
    </row>
    <row r="27" spans="1:8">
      <c r="A27" s="10">
        <v>1995.47</v>
      </c>
      <c r="B27">
        <v>39.78</v>
      </c>
      <c r="G27" s="10">
        <v>1995.63</v>
      </c>
      <c r="H27">
        <v>36.85</v>
      </c>
    </row>
    <row r="28" spans="1:8">
      <c r="A28" s="10">
        <v>1996.09</v>
      </c>
      <c r="B28">
        <v>39.93</v>
      </c>
      <c r="G28" s="10">
        <v>1996.45</v>
      </c>
      <c r="H28">
        <v>37.840000000000003</v>
      </c>
    </row>
    <row r="29" spans="1:8">
      <c r="A29" s="10">
        <v>1997.66</v>
      </c>
      <c r="B29">
        <v>39.86</v>
      </c>
      <c r="G29" s="10">
        <v>1997.53</v>
      </c>
      <c r="H29">
        <v>38.299999999999997</v>
      </c>
    </row>
    <row r="30" spans="1:8">
      <c r="A30" s="10">
        <v>1998.59</v>
      </c>
      <c r="B30">
        <v>40.46</v>
      </c>
      <c r="G30" s="10">
        <v>1998.76</v>
      </c>
      <c r="H30">
        <v>38.299999999999997</v>
      </c>
    </row>
    <row r="31" spans="1:8">
      <c r="A31" s="10">
        <v>1999.38</v>
      </c>
      <c r="B31">
        <v>40.54</v>
      </c>
      <c r="G31" s="10">
        <v>1999.57</v>
      </c>
      <c r="H31">
        <v>38.479999999999997</v>
      </c>
    </row>
    <row r="32" spans="1:8">
      <c r="A32" s="10">
        <v>2000.78</v>
      </c>
      <c r="B32">
        <v>40.76</v>
      </c>
      <c r="G32" s="10">
        <v>2000.52</v>
      </c>
      <c r="H32">
        <v>38.840000000000003</v>
      </c>
    </row>
    <row r="33" spans="1:8">
      <c r="A33" s="10">
        <v>2001.41</v>
      </c>
      <c r="B33">
        <v>41.45</v>
      </c>
      <c r="G33" s="10">
        <v>2001.61</v>
      </c>
      <c r="H33">
        <v>39.29</v>
      </c>
    </row>
    <row r="34" spans="1:8">
      <c r="A34" s="10">
        <v>2002.34</v>
      </c>
      <c r="B34">
        <v>41.97</v>
      </c>
      <c r="G34" s="10">
        <v>2002.83</v>
      </c>
      <c r="H34">
        <v>39.93</v>
      </c>
    </row>
    <row r="35" spans="1:8">
      <c r="A35" s="10">
        <v>2003.44</v>
      </c>
      <c r="B35">
        <v>42.88</v>
      </c>
      <c r="G35" s="10">
        <v>2003.51</v>
      </c>
      <c r="H35">
        <v>41.29</v>
      </c>
    </row>
    <row r="36" spans="1:8">
      <c r="A36" s="10">
        <v>2004.61</v>
      </c>
      <c r="B36">
        <v>42.88</v>
      </c>
      <c r="G36" s="10">
        <v>2004.52</v>
      </c>
      <c r="H36">
        <v>42.19</v>
      </c>
    </row>
  </sheetData>
  <hyperlinks>
    <hyperlink ref="A2" r:id="rId1" xr:uid="{00000000-0004-0000-1700-000000000000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H40"/>
  <sheetViews>
    <sheetView topLeftCell="A7" workbookViewId="0">
      <selection activeCell="F8" sqref="F8"/>
    </sheetView>
  </sheetViews>
  <sheetFormatPr defaultRowHeight="14.4"/>
  <sheetData>
    <row r="1" spans="1:8">
      <c r="A1" t="s">
        <v>9</v>
      </c>
    </row>
    <row r="2" spans="1:8">
      <c r="A2" s="4" t="s">
        <v>11</v>
      </c>
    </row>
    <row r="6" spans="1:8">
      <c r="A6" t="s">
        <v>92</v>
      </c>
      <c r="B6" t="s">
        <v>93</v>
      </c>
    </row>
    <row r="7" spans="1:8">
      <c r="A7" t="s">
        <v>94</v>
      </c>
      <c r="B7" t="s">
        <v>95</v>
      </c>
    </row>
    <row r="8" spans="1:8">
      <c r="A8" t="s">
        <v>97</v>
      </c>
      <c r="B8" t="s">
        <v>96</v>
      </c>
    </row>
    <row r="14" spans="1:8">
      <c r="B14" s="8" t="s">
        <v>97</v>
      </c>
      <c r="E14" s="8" t="s">
        <v>94</v>
      </c>
      <c r="H14" s="8" t="s">
        <v>92</v>
      </c>
    </row>
    <row r="15" spans="1:8">
      <c r="A15" s="14">
        <v>2010.41</v>
      </c>
      <c r="B15">
        <v>34</v>
      </c>
      <c r="D15" s="14">
        <v>2010.41</v>
      </c>
      <c r="E15">
        <v>36.01</v>
      </c>
      <c r="G15" s="14">
        <v>2010.35</v>
      </c>
      <c r="H15">
        <v>35.86</v>
      </c>
    </row>
    <row r="16" spans="1:8">
      <c r="A16" s="14">
        <v>2010.48</v>
      </c>
      <c r="B16">
        <v>34.65</v>
      </c>
      <c r="D16" s="14">
        <v>2011.48</v>
      </c>
      <c r="E16">
        <v>36.01</v>
      </c>
      <c r="G16" s="14">
        <v>2010.57</v>
      </c>
      <c r="H16">
        <v>35.79</v>
      </c>
    </row>
    <row r="17" spans="1:8">
      <c r="A17" s="14">
        <v>2010.6</v>
      </c>
      <c r="B17">
        <v>34.76</v>
      </c>
      <c r="D17" s="14">
        <v>2011.76</v>
      </c>
      <c r="E17">
        <v>35.46</v>
      </c>
      <c r="G17" s="14">
        <v>2010.68</v>
      </c>
      <c r="H17">
        <v>35.5</v>
      </c>
    </row>
    <row r="18" spans="1:8">
      <c r="A18" s="14">
        <v>2010.68</v>
      </c>
      <c r="B18">
        <v>34.32</v>
      </c>
      <c r="D18" s="14">
        <v>2012.16</v>
      </c>
      <c r="E18">
        <v>35.21</v>
      </c>
      <c r="G18" s="14">
        <v>2010.77</v>
      </c>
      <c r="H18">
        <v>35.33</v>
      </c>
    </row>
    <row r="19" spans="1:8">
      <c r="A19" s="14">
        <v>2010.85</v>
      </c>
      <c r="B19">
        <v>34.119999999999997</v>
      </c>
      <c r="D19" s="14">
        <v>2012.38</v>
      </c>
      <c r="E19">
        <v>34.950000000000003</v>
      </c>
      <c r="G19" s="14">
        <v>2010.82</v>
      </c>
      <c r="H19">
        <v>35.04</v>
      </c>
    </row>
    <row r="20" spans="1:8">
      <c r="A20" s="14">
        <v>2011.28</v>
      </c>
      <c r="B20">
        <v>34.01</v>
      </c>
      <c r="D20" s="14">
        <v>2012.75</v>
      </c>
      <c r="E20">
        <v>34.78</v>
      </c>
      <c r="G20" s="14">
        <v>2011.02</v>
      </c>
      <c r="H20">
        <v>34.83</v>
      </c>
    </row>
    <row r="21" spans="1:8">
      <c r="A21" s="14">
        <v>2011.76</v>
      </c>
      <c r="B21">
        <v>33.86</v>
      </c>
      <c r="D21" s="14">
        <v>2013.15</v>
      </c>
      <c r="E21">
        <v>34.76</v>
      </c>
      <c r="G21" s="14">
        <v>2011.11</v>
      </c>
      <c r="H21">
        <v>34.700000000000003</v>
      </c>
    </row>
    <row r="22" spans="1:8">
      <c r="A22" s="14">
        <v>2012.04</v>
      </c>
      <c r="B22">
        <v>33.79</v>
      </c>
      <c r="D22" s="14">
        <v>2013.74</v>
      </c>
      <c r="E22">
        <v>34.78</v>
      </c>
      <c r="G22" s="14">
        <v>2011.33</v>
      </c>
      <c r="H22">
        <v>34.799999999999997</v>
      </c>
    </row>
    <row r="23" spans="1:8">
      <c r="A23" s="14">
        <v>2012.33</v>
      </c>
      <c r="B23">
        <v>33.950000000000003</v>
      </c>
      <c r="D23" s="14">
        <v>2014.14</v>
      </c>
      <c r="E23">
        <v>34.68</v>
      </c>
      <c r="G23" s="14">
        <v>2011.59</v>
      </c>
      <c r="H23">
        <v>34.78</v>
      </c>
    </row>
    <row r="24" spans="1:8">
      <c r="A24" s="14">
        <v>2012.38</v>
      </c>
      <c r="B24">
        <v>33.659999999999997</v>
      </c>
      <c r="D24" s="14">
        <v>2014.65</v>
      </c>
      <c r="E24">
        <v>34.61</v>
      </c>
      <c r="G24" s="14">
        <v>2011.79</v>
      </c>
      <c r="H24">
        <v>34.659999999999997</v>
      </c>
    </row>
    <row r="25" spans="1:8">
      <c r="A25" s="14">
        <v>2012.44</v>
      </c>
      <c r="B25">
        <v>33.479999999999997</v>
      </c>
      <c r="D25" s="14">
        <v>2015.16</v>
      </c>
      <c r="E25">
        <v>34.630000000000003</v>
      </c>
      <c r="G25" s="14">
        <v>2012.13</v>
      </c>
      <c r="H25">
        <v>34.590000000000003</v>
      </c>
    </row>
    <row r="26" spans="1:8">
      <c r="A26" s="14">
        <v>2012.64</v>
      </c>
      <c r="B26">
        <v>33.5</v>
      </c>
      <c r="D26" s="14">
        <v>2015.5</v>
      </c>
      <c r="E26">
        <v>34.590000000000003</v>
      </c>
      <c r="G26" s="14">
        <v>2012.38</v>
      </c>
      <c r="H26">
        <v>34.39</v>
      </c>
    </row>
    <row r="27" spans="1:8">
      <c r="A27" s="14">
        <v>2012.95</v>
      </c>
      <c r="B27">
        <v>33.19</v>
      </c>
      <c r="D27" s="14">
        <v>2016.35</v>
      </c>
      <c r="E27">
        <v>34.85</v>
      </c>
      <c r="G27" s="14">
        <v>2012.5</v>
      </c>
      <c r="H27">
        <v>34.270000000000003</v>
      </c>
    </row>
    <row r="28" spans="1:8">
      <c r="A28" s="14">
        <v>2013.29</v>
      </c>
      <c r="B28">
        <v>33.01</v>
      </c>
      <c r="D28" s="14">
        <v>2016.84</v>
      </c>
      <c r="E28">
        <v>34.630000000000003</v>
      </c>
      <c r="G28" s="14">
        <v>2012.84</v>
      </c>
      <c r="H28">
        <v>34.130000000000003</v>
      </c>
    </row>
    <row r="29" spans="1:8">
      <c r="A29" s="14">
        <v>2013.43</v>
      </c>
      <c r="B29">
        <v>32.89</v>
      </c>
      <c r="D29" s="14">
        <v>2017.48</v>
      </c>
      <c r="E29">
        <v>34.659999999999997</v>
      </c>
      <c r="G29" s="14">
        <v>2013.04</v>
      </c>
      <c r="H29">
        <v>33.909999999999997</v>
      </c>
    </row>
    <row r="30" spans="1:8">
      <c r="A30" s="14">
        <v>2013.69</v>
      </c>
      <c r="B30">
        <v>32.94</v>
      </c>
      <c r="G30" s="14">
        <v>2013.4</v>
      </c>
      <c r="H30">
        <v>33.81</v>
      </c>
    </row>
    <row r="31" spans="1:8">
      <c r="A31" s="14">
        <v>2013.94</v>
      </c>
      <c r="B31">
        <v>32.799999999999997</v>
      </c>
      <c r="G31" s="14">
        <v>2013.63</v>
      </c>
      <c r="H31">
        <v>33.83</v>
      </c>
    </row>
    <row r="32" spans="1:8">
      <c r="A32" s="14">
        <v>2014.34</v>
      </c>
      <c r="B32">
        <v>32.68</v>
      </c>
      <c r="G32" s="14">
        <v>2013.97</v>
      </c>
      <c r="H32">
        <v>33.67</v>
      </c>
    </row>
    <row r="33" spans="1:8">
      <c r="A33" s="14">
        <v>2014.77</v>
      </c>
      <c r="B33">
        <v>32.58</v>
      </c>
      <c r="G33" s="14">
        <v>2014.43</v>
      </c>
      <c r="H33">
        <v>33.57</v>
      </c>
    </row>
    <row r="34" spans="1:8">
      <c r="A34" s="14">
        <v>2015.22</v>
      </c>
      <c r="B34">
        <v>32.61</v>
      </c>
      <c r="G34" s="14">
        <v>2014.91</v>
      </c>
      <c r="H34">
        <v>33.479999999999997</v>
      </c>
    </row>
    <row r="35" spans="1:8">
      <c r="A35" s="14">
        <v>2015.65</v>
      </c>
      <c r="B35">
        <v>32.72</v>
      </c>
      <c r="G35" s="14">
        <v>2015.3</v>
      </c>
      <c r="H35">
        <v>33.479999999999997</v>
      </c>
    </row>
    <row r="36" spans="1:8">
      <c r="A36" s="14">
        <v>2015.96</v>
      </c>
      <c r="B36">
        <v>32.869999999999997</v>
      </c>
      <c r="G36" s="14">
        <v>2015.59</v>
      </c>
      <c r="H36">
        <v>33.590000000000003</v>
      </c>
    </row>
    <row r="37" spans="1:8">
      <c r="A37" s="14">
        <v>2016.24</v>
      </c>
      <c r="B37">
        <v>32.97</v>
      </c>
      <c r="G37" s="14">
        <v>2015.99</v>
      </c>
      <c r="H37">
        <v>33.67</v>
      </c>
    </row>
    <row r="38" spans="1:8">
      <c r="A38" s="14">
        <v>2016.64</v>
      </c>
      <c r="B38">
        <v>33.11</v>
      </c>
      <c r="G38" s="14">
        <v>2016.35</v>
      </c>
      <c r="H38">
        <v>33.840000000000003</v>
      </c>
    </row>
    <row r="39" spans="1:8">
      <c r="A39" s="14">
        <v>2017.06</v>
      </c>
      <c r="B39">
        <v>33.06</v>
      </c>
      <c r="G39" s="14">
        <v>2016.89</v>
      </c>
      <c r="H39">
        <v>33.770000000000003</v>
      </c>
    </row>
    <row r="40" spans="1:8">
      <c r="A40" s="14">
        <v>2017.48</v>
      </c>
      <c r="B40">
        <v>33.01</v>
      </c>
      <c r="G40" s="14">
        <v>2017.39</v>
      </c>
      <c r="H40">
        <v>33.72</v>
      </c>
    </row>
  </sheetData>
  <hyperlinks>
    <hyperlink ref="A2" r:id="rId1" xr:uid="{00000000-0004-0000-1800-000000000000}"/>
  </hyperlinks>
  <pageMargins left="0.7" right="0.7" top="0.75" bottom="0.75" header="0.3" footer="0.3"/>
  <pageSetup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A2"/>
  <sheetViews>
    <sheetView topLeftCell="B7" workbookViewId="0">
      <selection activeCell="E4" sqref="E4"/>
    </sheetView>
  </sheetViews>
  <sheetFormatPr defaultRowHeight="14.4"/>
  <sheetData>
    <row r="1" spans="1:1">
      <c r="A1" t="s">
        <v>17</v>
      </c>
    </row>
    <row r="2" spans="1:1">
      <c r="A2" s="5" t="s">
        <v>18</v>
      </c>
    </row>
  </sheetData>
  <hyperlinks>
    <hyperlink ref="A2" r:id="rId1" xr:uid="{00000000-0004-0000-1900-000000000000}"/>
  </hyperlinks>
  <pageMargins left="0.7" right="0.7" top="0.75" bottom="0.75" header="0.3" footer="0.3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A2"/>
  <sheetViews>
    <sheetView workbookViewId="0">
      <selection activeCell="C12" sqref="C12"/>
    </sheetView>
  </sheetViews>
  <sheetFormatPr defaultRowHeight="14.4"/>
  <sheetData>
    <row r="1" spans="1:1">
      <c r="A1" t="s">
        <v>15</v>
      </c>
    </row>
    <row r="2" spans="1:1">
      <c r="A2" s="5" t="s">
        <v>16</v>
      </c>
    </row>
  </sheetData>
  <hyperlinks>
    <hyperlink ref="A2" r:id="rId1" xr:uid="{00000000-0004-0000-1A00-000000000000}"/>
  </hyperlinks>
  <pageMargins left="0.7" right="0.7" top="0.75" bottom="0.75" header="0.3" footer="0.3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"/>
  <sheetViews>
    <sheetView topLeftCell="D1" workbookViewId="0">
      <selection activeCell="G7" sqref="G7"/>
    </sheetView>
  </sheetViews>
  <sheetFormatPr defaultRowHeight="14.4"/>
  <sheetData>
    <row r="1" spans="1:1">
      <c r="A1" t="s">
        <v>19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"/>
  <sheetViews>
    <sheetView workbookViewId="0">
      <selection activeCell="C23" sqref="C23"/>
    </sheetView>
  </sheetViews>
  <sheetFormatPr defaultRowHeight="14.4"/>
  <sheetData>
    <row r="1" spans="1:1">
      <c r="A1" t="s">
        <v>25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"/>
  <sheetViews>
    <sheetView workbookViewId="0">
      <selection activeCell="A27" sqref="A27"/>
    </sheetView>
  </sheetViews>
  <sheetFormatPr defaultRowHeight="14.4"/>
  <sheetData>
    <row r="1" spans="1:1">
      <c r="A1" t="s">
        <v>26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6"/>
  <sheetViews>
    <sheetView workbookViewId="0">
      <selection activeCell="C11" sqref="C11"/>
    </sheetView>
  </sheetViews>
  <sheetFormatPr defaultRowHeight="14.4"/>
  <sheetData>
    <row r="1" spans="1:2">
      <c r="A1" t="s">
        <v>493</v>
      </c>
    </row>
    <row r="2" spans="1:2">
      <c r="A2" t="s">
        <v>595</v>
      </c>
    </row>
    <row r="3" spans="1:2">
      <c r="A3" s="27">
        <v>1</v>
      </c>
      <c r="B3" t="s">
        <v>593</v>
      </c>
    </row>
    <row r="4" spans="1:2">
      <c r="A4" s="27">
        <v>2</v>
      </c>
      <c r="B4" t="s">
        <v>594</v>
      </c>
    </row>
    <row r="5" spans="1:2">
      <c r="A5" s="27">
        <v>3</v>
      </c>
      <c r="B5" t="s">
        <v>596</v>
      </c>
    </row>
    <row r="6" spans="1:2">
      <c r="A6" s="27">
        <v>4</v>
      </c>
      <c r="B6" t="s">
        <v>597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A2"/>
  <sheetViews>
    <sheetView workbookViewId="0">
      <selection activeCell="U32" sqref="U32"/>
    </sheetView>
  </sheetViews>
  <sheetFormatPr defaultRowHeight="14.4"/>
  <sheetData>
    <row r="1" spans="1:1">
      <c r="A1" t="s">
        <v>28</v>
      </c>
    </row>
    <row r="2" spans="1:1">
      <c r="A2" t="s">
        <v>27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"/>
  <sheetViews>
    <sheetView workbookViewId="0">
      <selection activeCell="H4" sqref="H4"/>
    </sheetView>
  </sheetViews>
  <sheetFormatPr defaultRowHeight="14.4"/>
  <sheetData>
    <row r="1" spans="1:1">
      <c r="A1" t="s">
        <v>32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tabColor rgb="FF92D050"/>
  </sheetPr>
  <dimension ref="A1:G12"/>
  <sheetViews>
    <sheetView workbookViewId="0">
      <selection activeCell="A2" sqref="A2"/>
    </sheetView>
  </sheetViews>
  <sheetFormatPr defaultRowHeight="14.4"/>
  <sheetData>
    <row r="1" spans="1:7">
      <c r="A1" t="s">
        <v>30</v>
      </c>
    </row>
    <row r="2" spans="1:7">
      <c r="A2" s="5" t="s">
        <v>29</v>
      </c>
    </row>
    <row r="5" spans="1:7">
      <c r="C5" s="8" t="s">
        <v>89</v>
      </c>
      <c r="D5" s="8"/>
    </row>
    <row r="6" spans="1:7">
      <c r="B6" s="15" t="s">
        <v>84</v>
      </c>
      <c r="C6" s="15"/>
      <c r="D6" s="15" t="s">
        <v>87</v>
      </c>
      <c r="E6" s="15"/>
      <c r="F6" s="15" t="s">
        <v>88</v>
      </c>
      <c r="G6" s="15"/>
    </row>
    <row r="7" spans="1:7">
      <c r="B7" s="16" t="s">
        <v>85</v>
      </c>
      <c r="C7" s="16" t="s">
        <v>86</v>
      </c>
      <c r="D7" s="16" t="s">
        <v>85</v>
      </c>
      <c r="E7" s="16" t="s">
        <v>86</v>
      </c>
      <c r="F7" s="16" t="s">
        <v>85</v>
      </c>
      <c r="G7" s="16" t="s">
        <v>86</v>
      </c>
    </row>
    <row r="8" spans="1:7">
      <c r="A8" s="14">
        <v>2000</v>
      </c>
      <c r="B8">
        <v>28.5</v>
      </c>
      <c r="C8">
        <v>8.25</v>
      </c>
      <c r="D8">
        <v>21.3</v>
      </c>
      <c r="E8">
        <v>11.04</v>
      </c>
      <c r="F8">
        <v>24.8</v>
      </c>
      <c r="G8">
        <v>9.48</v>
      </c>
    </row>
    <row r="9" spans="1:7">
      <c r="A9" s="14">
        <v>2001</v>
      </c>
      <c r="B9">
        <v>28.8</v>
      </c>
      <c r="C9">
        <v>8.17</v>
      </c>
      <c r="D9">
        <v>20.9</v>
      </c>
      <c r="E9">
        <v>11.25</v>
      </c>
      <c r="F9">
        <v>24.5</v>
      </c>
      <c r="G9">
        <v>9.6</v>
      </c>
    </row>
    <row r="10" spans="1:7">
      <c r="A10" s="14">
        <v>2002</v>
      </c>
      <c r="B10">
        <v>29</v>
      </c>
      <c r="C10">
        <v>8.11</v>
      </c>
      <c r="D10">
        <v>21.4</v>
      </c>
      <c r="E10">
        <v>10.99</v>
      </c>
      <c r="F10">
        <v>24.7</v>
      </c>
      <c r="G10">
        <v>9.52</v>
      </c>
    </row>
    <row r="11" spans="1:7">
      <c r="A11" s="14">
        <v>2003</v>
      </c>
      <c r="B11">
        <v>29.4</v>
      </c>
      <c r="C11">
        <v>8</v>
      </c>
      <c r="D11">
        <v>21.6</v>
      </c>
      <c r="E11">
        <v>10.89</v>
      </c>
      <c r="F11">
        <v>25</v>
      </c>
      <c r="G11">
        <v>9.41</v>
      </c>
    </row>
    <row r="12" spans="1:7">
      <c r="A12" s="14">
        <v>2004</v>
      </c>
      <c r="B12">
        <v>29.3</v>
      </c>
      <c r="C12">
        <v>8.0299999999999994</v>
      </c>
      <c r="D12">
        <v>21.5</v>
      </c>
      <c r="E12">
        <v>10.94</v>
      </c>
      <c r="F12">
        <v>24.7</v>
      </c>
      <c r="G12">
        <v>9.52</v>
      </c>
    </row>
  </sheetData>
  <hyperlinks>
    <hyperlink ref="A2" r:id="rId1" xr:uid="{00000000-0004-0000-2000-000000000000}"/>
  </hyperlinks>
  <pageMargins left="0.7" right="0.7" top="0.75" bottom="0.75" header="0.3" footer="0.3"/>
  <pageSetup orientation="portrait" r:id="rId2"/>
  <drawing r:id="rId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A2"/>
  <sheetViews>
    <sheetView topLeftCell="A7" workbookViewId="0">
      <selection activeCell="N2" sqref="N2"/>
    </sheetView>
  </sheetViews>
  <sheetFormatPr defaultRowHeight="14.4"/>
  <sheetData>
    <row r="1" spans="1:1">
      <c r="A1" t="s">
        <v>36</v>
      </c>
    </row>
    <row r="2" spans="1:1">
      <c r="A2" s="4" t="s">
        <v>31</v>
      </c>
    </row>
  </sheetData>
  <hyperlinks>
    <hyperlink ref="A2" r:id="rId1" xr:uid="{00000000-0004-0000-2100-000000000000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2:BL88"/>
  <sheetViews>
    <sheetView zoomScale="90" zoomScaleNormal="90" workbookViewId="0">
      <selection activeCell="D15" sqref="D15"/>
    </sheetView>
  </sheetViews>
  <sheetFormatPr defaultRowHeight="14.4"/>
  <cols>
    <col min="1" max="1" width="13.5546875" customWidth="1"/>
    <col min="2" max="2" width="26.5546875" bestFit="1" customWidth="1"/>
    <col min="3" max="3" width="14.109375" bestFit="1" customWidth="1"/>
  </cols>
  <sheetData>
    <row r="22" spans="2:63">
      <c r="B22" t="s">
        <v>587</v>
      </c>
      <c r="C22" t="s">
        <v>588</v>
      </c>
    </row>
    <row r="23" spans="2:63">
      <c r="B23" s="286" t="s">
        <v>585</v>
      </c>
      <c r="C23" t="s">
        <v>610</v>
      </c>
    </row>
    <row r="24" spans="2:63">
      <c r="C24" t="s">
        <v>586</v>
      </c>
    </row>
    <row r="25" spans="2:63">
      <c r="B25" s="286" t="s">
        <v>589</v>
      </c>
      <c r="C25" t="s">
        <v>590</v>
      </c>
    </row>
    <row r="26" spans="2:63">
      <c r="B26" s="293" t="s">
        <v>592</v>
      </c>
      <c r="C26" s="287" t="s">
        <v>591</v>
      </c>
    </row>
    <row r="27" spans="2:63">
      <c r="C27" s="287" t="s">
        <v>292</v>
      </c>
    </row>
    <row r="28" spans="2:63">
      <c r="C28" s="287"/>
    </row>
    <row r="29" spans="2:63" s="38" customFormat="1">
      <c r="C29" s="66" t="s">
        <v>294</v>
      </c>
      <c r="D29" s="46" t="s">
        <v>295</v>
      </c>
      <c r="E29" s="38">
        <v>0</v>
      </c>
      <c r="F29" s="38">
        <v>5</v>
      </c>
      <c r="G29" s="38">
        <v>10</v>
      </c>
      <c r="H29" s="38">
        <v>15</v>
      </c>
      <c r="I29" s="38">
        <v>20</v>
      </c>
      <c r="J29" s="38">
        <v>25</v>
      </c>
      <c r="K29" s="38">
        <v>30</v>
      </c>
      <c r="L29" s="38">
        <v>35</v>
      </c>
      <c r="M29" s="38">
        <v>40</v>
      </c>
      <c r="N29" s="38">
        <v>45</v>
      </c>
      <c r="O29" s="38">
        <v>50</v>
      </c>
      <c r="P29" s="38">
        <v>55</v>
      </c>
      <c r="Q29" s="38">
        <v>60</v>
      </c>
      <c r="R29" s="38">
        <v>65</v>
      </c>
      <c r="S29" s="38">
        <v>70</v>
      </c>
      <c r="T29" s="38">
        <v>75</v>
      </c>
      <c r="U29" s="38">
        <v>80</v>
      </c>
      <c r="V29" s="38">
        <v>85</v>
      </c>
      <c r="W29" s="38">
        <v>90</v>
      </c>
      <c r="X29" s="38">
        <v>95</v>
      </c>
      <c r="Y29" s="38">
        <v>100</v>
      </c>
      <c r="Z29" s="38">
        <v>105</v>
      </c>
      <c r="AA29" s="38">
        <v>110</v>
      </c>
      <c r="AB29" s="38">
        <v>115</v>
      </c>
      <c r="AC29" s="38">
        <v>120</v>
      </c>
      <c r="AD29" s="38">
        <v>125</v>
      </c>
      <c r="AE29" s="38">
        <v>130</v>
      </c>
      <c r="AF29" s="38">
        <v>135</v>
      </c>
      <c r="AG29" s="38">
        <v>140</v>
      </c>
      <c r="AH29" s="38">
        <v>145</v>
      </c>
      <c r="AI29" s="38">
        <v>150</v>
      </c>
      <c r="AJ29" s="38">
        <v>155</v>
      </c>
      <c r="AK29" s="38">
        <v>160</v>
      </c>
      <c r="AL29" s="38">
        <v>165</v>
      </c>
      <c r="AM29" s="38">
        <v>170</v>
      </c>
      <c r="AN29" s="38">
        <v>175</v>
      </c>
      <c r="AO29" s="38">
        <v>180</v>
      </c>
      <c r="AP29" s="38">
        <v>185</v>
      </c>
      <c r="AQ29" s="38">
        <v>190</v>
      </c>
      <c r="AR29" s="38">
        <v>195</v>
      </c>
      <c r="AS29" s="38">
        <v>200</v>
      </c>
      <c r="AT29" s="38">
        <v>205</v>
      </c>
      <c r="AU29" s="38">
        <v>210</v>
      </c>
      <c r="AV29" s="38">
        <v>215</v>
      </c>
      <c r="AW29" s="38">
        <v>220</v>
      </c>
      <c r="AX29" s="38">
        <v>225</v>
      </c>
      <c r="AY29" s="38">
        <v>230</v>
      </c>
      <c r="AZ29" s="38">
        <v>235</v>
      </c>
      <c r="BA29" s="38">
        <v>240</v>
      </c>
      <c r="BB29" s="38">
        <v>245</v>
      </c>
      <c r="BC29" s="50"/>
      <c r="BK29" s="53"/>
    </row>
    <row r="30" spans="2:63" s="38" customFormat="1">
      <c r="C30" s="288" t="s">
        <v>580</v>
      </c>
      <c r="D30" s="46" t="s">
        <v>297</v>
      </c>
      <c r="E30" s="38">
        <v>0</v>
      </c>
      <c r="F30" s="78">
        <f>35*(1-EXP(-0.01*F$29))/100</f>
        <v>1.7069701424750096E-2</v>
      </c>
      <c r="G30" s="78">
        <f t="shared" ref="G30:BB30" si="0">35*(1-EXP(-0.01*G$29))/100</f>
        <v>3.3306903687414166E-2</v>
      </c>
      <c r="H30" s="78">
        <f t="shared" si="0"/>
        <v>4.8752208251229764E-2</v>
      </c>
      <c r="I30" s="78">
        <f t="shared" si="0"/>
        <v>6.3444236422706371E-2</v>
      </c>
      <c r="J30" s="78">
        <f t="shared" si="0"/>
        <v>7.7419725925008287E-2</v>
      </c>
      <c r="K30" s="78">
        <f t="shared" si="0"/>
        <v>9.0713622761398743E-2</v>
      </c>
      <c r="L30" s="78">
        <f t="shared" si="0"/>
        <v>0.1033591685984503</v>
      </c>
      <c r="M30" s="78">
        <f t="shared" si="0"/>
        <v>0.11538798388752623</v>
      </c>
      <c r="N30" s="78">
        <f t="shared" si="0"/>
        <v>0.12683014693237932</v>
      </c>
      <c r="O30" s="78">
        <f t="shared" si="0"/>
        <v>0.1377142691005783</v>
      </c>
      <c r="P30" s="78">
        <f t="shared" si="0"/>
        <v>0.14806756636682969</v>
      </c>
      <c r="Q30" s="78">
        <f t="shared" si="0"/>
        <v>0.15791592736709076</v>
      </c>
      <c r="R30" s="78">
        <f t="shared" si="0"/>
        <v>0.16728397813364437</v>
      </c>
      <c r="S30" s="78">
        <f t="shared" si="0"/>
        <v>0.1761951436730067</v>
      </c>
      <c r="T30" s="78">
        <f t="shared" si="0"/>
        <v>0.18467170654064485</v>
      </c>
      <c r="U30" s="78">
        <f t="shared" si="0"/>
        <v>0.19273486255897246</v>
      </c>
      <c r="V30" s="78">
        <f t="shared" si="0"/>
        <v>0.20040477381794566</v>
      </c>
      <c r="W30" s="78">
        <f t="shared" si="0"/>
        <v>0.20770061909079032</v>
      </c>
      <c r="X30" s="78">
        <f t="shared" si="0"/>
        <v>0.21464064179092457</v>
      </c>
      <c r="Y30" s="78">
        <f t="shared" si="0"/>
        <v>0.22124219558999517</v>
      </c>
      <c r="Z30" s="78">
        <f t="shared" si="0"/>
        <v>0.22752178781109567</v>
      </c>
      <c r="AA30" s="78">
        <f t="shared" si="0"/>
        <v>0.23349512070567219</v>
      </c>
      <c r="AB30" s="78">
        <f t="shared" si="0"/>
        <v>0.2391771307173314</v>
      </c>
      <c r="AC30" s="78">
        <f t="shared" si="0"/>
        <v>0.24458202583072924</v>
      </c>
      <c r="AD30" s="78">
        <f t="shared" si="0"/>
        <v>0.24972332109893344</v>
      </c>
      <c r="AE30" s="78">
        <f t="shared" si="0"/>
        <v>0.25461387243809563</v>
      </c>
      <c r="AF30" s="78">
        <f t="shared" si="0"/>
        <v>0.25926590877393801</v>
      </c>
      <c r="AG30" s="78">
        <f t="shared" si="0"/>
        <v>0.26369106262043773</v>
      </c>
      <c r="AH30" s="78">
        <f t="shared" si="0"/>
        <v>0.26790039916717079</v>
      </c>
      <c r="AI30" s="78">
        <f t="shared" si="0"/>
        <v>0.27190444394804958</v>
      </c>
      <c r="AJ30" s="78">
        <f t="shared" si="0"/>
        <v>0.2757132091606399</v>
      </c>
      <c r="AK30" s="78">
        <f t="shared" si="0"/>
        <v>0.27933621870187064</v>
      </c>
      <c r="AL30" s="78">
        <f t="shared" si="0"/>
        <v>0.28278253198273606</v>
      </c>
      <c r="AM30" s="78">
        <f t="shared" si="0"/>
        <v>0.28606076658154289</v>
      </c>
      <c r="AN30" s="78">
        <f t="shared" si="0"/>
        <v>0.28917911979234417</v>
      </c>
      <c r="AO30" s="78">
        <f t="shared" si="0"/>
        <v>0.2921453891224447</v>
      </c>
      <c r="AP30" s="78">
        <f t="shared" si="0"/>
        <v>0.29496699179023034</v>
      </c>
      <c r="AQ30" s="78">
        <f t="shared" si="0"/>
        <v>0.29765098327207773</v>
      </c>
      <c r="AR30" s="78">
        <f t="shared" si="0"/>
        <v>0.30020407494472023</v>
      </c>
      <c r="AS30" s="78">
        <f t="shared" si="0"/>
        <v>0.30263265086718555</v>
      </c>
      <c r="AT30" s="78">
        <f t="shared" si="0"/>
        <v>0.30494278374426853</v>
      </c>
      <c r="AU30" s="78">
        <f t="shared" si="0"/>
        <v>0.30714025011145635</v>
      </c>
      <c r="AV30" s="78">
        <f t="shared" si="0"/>
        <v>0.30923054477927608</v>
      </c>
      <c r="AW30" s="78">
        <f t="shared" si="0"/>
        <v>0.31121889457318314</v>
      </c>
      <c r="AX30" s="78">
        <f t="shared" si="0"/>
        <v>0.31311027140334746</v>
      </c>
      <c r="AY30" s="78">
        <f t="shared" si="0"/>
        <v>0.31490940469701872</v>
      </c>
      <c r="AZ30" s="78">
        <f t="shared" si="0"/>
        <v>0.31662079322455766</v>
      </c>
      <c r="BA30" s="78">
        <f t="shared" si="0"/>
        <v>0.31824871634870566</v>
      </c>
      <c r="BB30" s="78">
        <f t="shared" si="0"/>
        <v>0.31979724472522031</v>
      </c>
      <c r="BC30" s="85"/>
      <c r="BD30" s="78"/>
      <c r="BK30" s="53"/>
    </row>
    <row r="31" spans="2:63" s="38" customFormat="1">
      <c r="C31" s="288" t="s">
        <v>581</v>
      </c>
      <c r="D31" s="46" t="s">
        <v>299</v>
      </c>
      <c r="E31" s="38">
        <v>0</v>
      </c>
      <c r="F31" s="78">
        <f t="shared" ref="F31:AK31" si="1">35*(1-EXP(-0.02*F$29))/100</f>
        <v>3.3306903687414166E-2</v>
      </c>
      <c r="G31" s="78">
        <f t="shared" si="1"/>
        <v>6.3444236422706371E-2</v>
      </c>
      <c r="H31" s="78">
        <f t="shared" si="1"/>
        <v>9.0713622761398743E-2</v>
      </c>
      <c r="I31" s="78">
        <f t="shared" si="1"/>
        <v>0.11538798388752623</v>
      </c>
      <c r="J31" s="78">
        <f t="shared" si="1"/>
        <v>0.1377142691005783</v>
      </c>
      <c r="K31" s="78">
        <f t="shared" si="1"/>
        <v>0.15791592736709076</v>
      </c>
      <c r="L31" s="78">
        <f t="shared" si="1"/>
        <v>0.1761951436730067</v>
      </c>
      <c r="M31" s="78">
        <f t="shared" si="1"/>
        <v>0.19273486255897246</v>
      </c>
      <c r="N31" s="78">
        <f t="shared" si="1"/>
        <v>0.20770061909079032</v>
      </c>
      <c r="O31" s="78">
        <f t="shared" si="1"/>
        <v>0.22124219558999517</v>
      </c>
      <c r="P31" s="78">
        <f t="shared" si="1"/>
        <v>0.23349512070567219</v>
      </c>
      <c r="Q31" s="78">
        <f t="shared" si="1"/>
        <v>0.24458202583072924</v>
      </c>
      <c r="R31" s="78">
        <f t="shared" si="1"/>
        <v>0.25461387243809563</v>
      </c>
      <c r="S31" s="78">
        <f t="shared" si="1"/>
        <v>0.26369106262043773</v>
      </c>
      <c r="T31" s="78">
        <f t="shared" si="1"/>
        <v>0.27190444394804958</v>
      </c>
      <c r="U31" s="78">
        <f t="shared" si="1"/>
        <v>0.27933621870187064</v>
      </c>
      <c r="V31" s="78">
        <f t="shared" si="1"/>
        <v>0.28606076658154289</v>
      </c>
      <c r="W31" s="78">
        <f t="shared" si="1"/>
        <v>0.2921453891224447</v>
      </c>
      <c r="X31" s="78">
        <f t="shared" si="1"/>
        <v>0.29765098327207773</v>
      </c>
      <c r="Y31" s="78">
        <f t="shared" si="1"/>
        <v>0.30263265086718555</v>
      </c>
      <c r="Z31" s="78">
        <f t="shared" si="1"/>
        <v>0.30714025011145635</v>
      </c>
      <c r="AA31" s="78">
        <f t="shared" si="1"/>
        <v>0.31121889457318314</v>
      </c>
      <c r="AB31" s="78">
        <f t="shared" si="1"/>
        <v>0.31490940469701872</v>
      </c>
      <c r="AC31" s="78">
        <f t="shared" si="1"/>
        <v>0.31824871634870566</v>
      </c>
      <c r="AD31" s="78">
        <f t="shared" si="1"/>
        <v>0.32127025048163538</v>
      </c>
      <c r="AE31" s="78">
        <f t="shared" si="1"/>
        <v>0.32400424762498309</v>
      </c>
      <c r="AF31" s="78">
        <f t="shared" si="1"/>
        <v>0.32647807054108763</v>
      </c>
      <c r="AG31" s="78">
        <f t="shared" si="1"/>
        <v>0.32871647808117371</v>
      </c>
      <c r="AH31" s="78">
        <f t="shared" si="1"/>
        <v>0.33074187298025748</v>
      </c>
      <c r="AI31" s="78">
        <f t="shared" si="1"/>
        <v>0.3325745260712476</v>
      </c>
      <c r="AJ31" s="78">
        <f t="shared" si="1"/>
        <v>0.3342327791622548</v>
      </c>
      <c r="AK31" s="78">
        <f t="shared" si="1"/>
        <v>0.33573322860757188</v>
      </c>
      <c r="AL31" s="78">
        <f t="shared" ref="AL31:BB31" si="2">35*(1-EXP(-0.02*AL$29))/100</f>
        <v>0.337090891409566</v>
      </c>
      <c r="AM31" s="78">
        <f t="shared" si="2"/>
        <v>0.33831935551388592</v>
      </c>
      <c r="AN31" s="78">
        <f t="shared" si="2"/>
        <v>0.33943091580218854</v>
      </c>
      <c r="AO31" s="78">
        <f t="shared" si="2"/>
        <v>0.3404366971434476</v>
      </c>
      <c r="AP31" s="78">
        <f t="shared" si="2"/>
        <v>0.34134676573538125</v>
      </c>
      <c r="AQ31" s="78">
        <f t="shared" si="2"/>
        <v>0.34217022985034207</v>
      </c>
      <c r="AR31" s="78">
        <f t="shared" si="2"/>
        <v>0.34291533099396854</v>
      </c>
      <c r="AS31" s="78">
        <f t="shared" si="2"/>
        <v>0.34358952638894302</v>
      </c>
      <c r="AT31" s="78">
        <f t="shared" si="2"/>
        <v>0.34419956360938359</v>
      </c>
      <c r="AU31" s="78">
        <f t="shared" si="2"/>
        <v>0.34475154811283282</v>
      </c>
      <c r="AV31" s="78">
        <f t="shared" si="2"/>
        <v>0.3452510043457297</v>
      </c>
      <c r="AW31" s="78">
        <f t="shared" si="2"/>
        <v>0.34570293103392602</v>
      </c>
      <c r="AX31" s="78">
        <f t="shared" si="2"/>
        <v>0.3461118512116152</v>
      </c>
      <c r="AY31" s="78">
        <f t="shared" si="2"/>
        <v>0.34648185748937826</v>
      </c>
      <c r="AZ31" s="78">
        <f t="shared" si="2"/>
        <v>0.34681665301440645</v>
      </c>
      <c r="BA31" s="78">
        <f t="shared" si="2"/>
        <v>0.34711958853284303</v>
      </c>
      <c r="BB31" s="78">
        <f t="shared" si="2"/>
        <v>0.34739369592517649</v>
      </c>
      <c r="BC31" s="85"/>
      <c r="BD31" s="78"/>
      <c r="BK31" s="53"/>
    </row>
    <row r="32" spans="2:63" s="38" customFormat="1">
      <c r="B32" s="289"/>
      <c r="C32" s="290" t="s">
        <v>291</v>
      </c>
      <c r="D32" s="289" t="s">
        <v>299</v>
      </c>
      <c r="E32" s="289">
        <v>0</v>
      </c>
      <c r="F32" s="291">
        <f>35*(1-EXP(-0.025*F$29))/100</f>
        <v>4.1126084095391591E-2</v>
      </c>
      <c r="G32" s="291">
        <f t="shared" ref="G32:BB32" si="3">35*(1-EXP(-0.025*G$29))/100</f>
        <v>7.7419725925008287E-2</v>
      </c>
      <c r="H32" s="292">
        <f t="shared" si="3"/>
        <v>0.10944875242315971</v>
      </c>
      <c r="I32" s="291">
        <f t="shared" si="3"/>
        <v>0.1377142691005783</v>
      </c>
      <c r="J32" s="291">
        <f t="shared" si="3"/>
        <v>0.16265850001835339</v>
      </c>
      <c r="K32" s="291">
        <f t="shared" si="3"/>
        <v>0.18467170654064485</v>
      </c>
      <c r="L32" s="292">
        <f t="shared" si="3"/>
        <v>0.20409829311252203</v>
      </c>
      <c r="M32" s="291">
        <f t="shared" si="3"/>
        <v>0.22124219558999517</v>
      </c>
      <c r="N32" s="291">
        <f t="shared" si="3"/>
        <v>0.23637163642457756</v>
      </c>
      <c r="O32" s="291">
        <f t="shared" si="3"/>
        <v>0.24972332109893344</v>
      </c>
      <c r="P32" s="291">
        <f t="shared" si="3"/>
        <v>0.26150614146833873</v>
      </c>
      <c r="Q32" s="291">
        <f t="shared" si="3"/>
        <v>0.27190444394804958</v>
      </c>
      <c r="R32" s="291">
        <f t="shared" si="3"/>
        <v>0.28108091367853211</v>
      </c>
      <c r="S32" s="291">
        <f t="shared" si="3"/>
        <v>0.28917911979234417</v>
      </c>
      <c r="T32" s="291">
        <f t="shared" si="3"/>
        <v>0.29632576160427504</v>
      </c>
      <c r="U32" s="291">
        <f t="shared" si="3"/>
        <v>0.30263265086718555</v>
      </c>
      <c r="V32" s="291">
        <f t="shared" si="3"/>
        <v>0.30819846110664811</v>
      </c>
      <c r="W32" s="291">
        <f t="shared" si="3"/>
        <v>0.31311027140334746</v>
      </c>
      <c r="X32" s="291">
        <f t="shared" si="3"/>
        <v>0.31744492877626779</v>
      </c>
      <c r="Y32" s="291">
        <f t="shared" si="3"/>
        <v>0.32127025048163538</v>
      </c>
      <c r="Z32" s="291">
        <f t="shared" si="3"/>
        <v>0.32464608503801201</v>
      </c>
      <c r="AA32" s="291">
        <f t="shared" si="3"/>
        <v>0.32762524857765235</v>
      </c>
      <c r="AB32" s="291">
        <f t="shared" si="3"/>
        <v>0.33025435117367791</v>
      </c>
      <c r="AC32" s="291">
        <f t="shared" si="3"/>
        <v>0.3325745260712476</v>
      </c>
      <c r="AD32" s="291">
        <f t="shared" si="3"/>
        <v>0.33462207323180743</v>
      </c>
      <c r="AE32" s="291">
        <f t="shared" si="3"/>
        <v>0.33642902725889728</v>
      </c>
      <c r="AF32" s="291">
        <f t="shared" si="3"/>
        <v>0.33802365859091693</v>
      </c>
      <c r="AG32" s="291">
        <f t="shared" si="3"/>
        <v>0.33943091580218854</v>
      </c>
      <c r="AH32" s="291">
        <f t="shared" si="3"/>
        <v>0.34067281593227561</v>
      </c>
      <c r="AI32" s="291">
        <f t="shared" si="3"/>
        <v>0.34176878895039686</v>
      </c>
      <c r="AJ32" s="291">
        <f t="shared" si="3"/>
        <v>0.34273598174420505</v>
      </c>
      <c r="AK32" s="291">
        <f t="shared" si="3"/>
        <v>0.34358952638894302</v>
      </c>
      <c r="AL32" s="291">
        <f t="shared" si="3"/>
        <v>0.34434277689414194</v>
      </c>
      <c r="AM32" s="291">
        <f t="shared" si="3"/>
        <v>0.34500751813185027</v>
      </c>
      <c r="AN32" s="291">
        <f t="shared" si="3"/>
        <v>0.34559415021514811</v>
      </c>
      <c r="AO32" s="291">
        <f t="shared" si="3"/>
        <v>0.3461118512116152</v>
      </c>
      <c r="AP32" s="291">
        <f t="shared" si="3"/>
        <v>0.34656872073746237</v>
      </c>
      <c r="AQ32" s="291">
        <f t="shared" si="3"/>
        <v>0.34697190667890782</v>
      </c>
      <c r="AR32" s="291">
        <f t="shared" si="3"/>
        <v>0.34732771702339904</v>
      </c>
      <c r="AS32" s="291">
        <f t="shared" si="3"/>
        <v>0.34764171855032011</v>
      </c>
      <c r="AT32" s="291">
        <f t="shared" si="3"/>
        <v>0.34791882392523477</v>
      </c>
      <c r="AU32" s="291">
        <f t="shared" si="3"/>
        <v>0.34816336856028657</v>
      </c>
      <c r="AV32" s="291">
        <f t="shared" si="3"/>
        <v>0.34837917844326333</v>
      </c>
      <c r="AW32" s="291">
        <f t="shared" si="3"/>
        <v>0.34856962999653762</v>
      </c>
      <c r="AX32" s="291">
        <f t="shared" si="3"/>
        <v>0.34873770290239448</v>
      </c>
      <c r="AY32" s="291">
        <f t="shared" si="3"/>
        <v>0.3488860267212216</v>
      </c>
      <c r="AZ32" s="291">
        <f t="shared" si="3"/>
        <v>0.34901692203191609</v>
      </c>
      <c r="BA32" s="291">
        <f t="shared" si="3"/>
        <v>0.3491324367381668</v>
      </c>
      <c r="BB32" s="291">
        <f t="shared" si="3"/>
        <v>0.34923437810863606</v>
      </c>
      <c r="BC32" s="85"/>
      <c r="BD32" s="78"/>
      <c r="BK32" s="53"/>
    </row>
    <row r="33" spans="1:64" s="38" customFormat="1">
      <c r="A33" s="86"/>
      <c r="B33" s="86"/>
      <c r="C33" s="288" t="s">
        <v>582</v>
      </c>
      <c r="D33" s="46" t="s">
        <v>577</v>
      </c>
      <c r="E33" s="38">
        <v>0</v>
      </c>
      <c r="F33" s="78">
        <f>35*(1-EXP(-0.03*F$29))/100</f>
        <v>4.8752208251229764E-2</v>
      </c>
      <c r="G33" s="78">
        <f t="shared" ref="G33:BB33" si="4">35*(1-EXP(-0.03*G$29))/100</f>
        <v>9.0713622761398743E-2</v>
      </c>
      <c r="H33" s="78">
        <f t="shared" si="4"/>
        <v>0.12683014693237932</v>
      </c>
      <c r="I33" s="78">
        <f t="shared" si="4"/>
        <v>0.15791592736709076</v>
      </c>
      <c r="J33" s="78">
        <f t="shared" si="4"/>
        <v>0.18467170654064485</v>
      </c>
      <c r="K33" s="78">
        <f t="shared" si="4"/>
        <v>0.20770061909079027</v>
      </c>
      <c r="L33" s="78">
        <f t="shared" si="4"/>
        <v>0.22752178781109567</v>
      </c>
      <c r="M33" s="78">
        <f t="shared" si="4"/>
        <v>0.24458202583072924</v>
      </c>
      <c r="N33" s="78">
        <f t="shared" si="4"/>
        <v>0.25926590877393796</v>
      </c>
      <c r="O33" s="78">
        <f t="shared" si="4"/>
        <v>0.27190444394804958</v>
      </c>
      <c r="P33" s="78">
        <f t="shared" si="4"/>
        <v>0.28278253198273606</v>
      </c>
      <c r="Q33" s="78">
        <f t="shared" si="4"/>
        <v>0.2921453891224447</v>
      </c>
      <c r="R33" s="78">
        <f t="shared" si="4"/>
        <v>0.30020407494472023</v>
      </c>
      <c r="S33" s="78">
        <f t="shared" si="4"/>
        <v>0.30714025011145635</v>
      </c>
      <c r="T33" s="78">
        <f t="shared" si="4"/>
        <v>0.31311027140334746</v>
      </c>
      <c r="U33" s="78">
        <f t="shared" si="4"/>
        <v>0.31824871634870566</v>
      </c>
      <c r="V33" s="78">
        <f t="shared" si="4"/>
        <v>0.32267141689959639</v>
      </c>
      <c r="W33" s="78">
        <f t="shared" si="4"/>
        <v>0.32647807054108763</v>
      </c>
      <c r="X33" s="78">
        <f t="shared" si="4"/>
        <v>0.32975448769380655</v>
      </c>
      <c r="Y33" s="78">
        <f t="shared" si="4"/>
        <v>0.3325745260712476</v>
      </c>
      <c r="Z33" s="78">
        <f t="shared" si="4"/>
        <v>0.33500175559653589</v>
      </c>
      <c r="AA33" s="78">
        <f t="shared" si="4"/>
        <v>0.337090891409566</v>
      </c>
      <c r="AB33" s="78">
        <f t="shared" si="4"/>
        <v>0.33888902726767628</v>
      </c>
      <c r="AC33" s="78">
        <f t="shared" si="4"/>
        <v>0.3404366971434476</v>
      </c>
      <c r="AD33" s="78">
        <f t="shared" si="4"/>
        <v>0.34176878895039686</v>
      </c>
      <c r="AE33" s="78">
        <f t="shared" si="4"/>
        <v>0.34291533099396854</v>
      </c>
      <c r="AF33" s="78">
        <f t="shared" si="4"/>
        <v>0.34390216887617725</v>
      </c>
      <c r="AG33" s="78">
        <f t="shared" si="4"/>
        <v>0.34475154811283282</v>
      </c>
      <c r="AH33" s="78">
        <f t="shared" si="4"/>
        <v>0.34548261559683202</v>
      </c>
      <c r="AI33" s="78">
        <f t="shared" si="4"/>
        <v>0.3461118512116152</v>
      </c>
      <c r="AJ33" s="78">
        <f t="shared" si="4"/>
        <v>0.34665343932430981</v>
      </c>
      <c r="AK33" s="78">
        <f t="shared" si="4"/>
        <v>0.34711958853284303</v>
      </c>
      <c r="AL33" s="78">
        <f t="shared" si="4"/>
        <v>0.34752080687483172</v>
      </c>
      <c r="AM33" s="78">
        <f t="shared" si="4"/>
        <v>0.34786613870206956</v>
      </c>
      <c r="AN33" s="78">
        <f t="shared" si="4"/>
        <v>0.34816336856028657</v>
      </c>
      <c r="AO33" s="78">
        <f t="shared" si="4"/>
        <v>0.34841919667008553</v>
      </c>
      <c r="AP33" s="78">
        <f t="shared" si="4"/>
        <v>0.34863938996478333</v>
      </c>
      <c r="AQ33" s="78">
        <f t="shared" si="4"/>
        <v>0.34882891208988503</v>
      </c>
      <c r="AR33" s="78">
        <f t="shared" si="4"/>
        <v>0.3489920352946691</v>
      </c>
      <c r="AS33" s="78">
        <f t="shared" si="4"/>
        <v>0.3491324367381668</v>
      </c>
      <c r="AT33" s="78">
        <f t="shared" si="4"/>
        <v>0.34925328138048684</v>
      </c>
      <c r="AU33" s="78">
        <f t="shared" si="4"/>
        <v>0.34935729332803989</v>
      </c>
      <c r="AV33" s="78">
        <f t="shared" si="4"/>
        <v>0.34944681724094229</v>
      </c>
      <c r="AW33" s="78">
        <f t="shared" si="4"/>
        <v>0.34952387118685818</v>
      </c>
      <c r="AX33" s="78">
        <f t="shared" si="4"/>
        <v>0.34959019213272308</v>
      </c>
      <c r="AY33" s="78">
        <f t="shared" si="4"/>
        <v>0.34964727509983295</v>
      </c>
      <c r="AZ33" s="78">
        <f t="shared" si="4"/>
        <v>0.34969640686494258</v>
      </c>
      <c r="BA33" s="78">
        <f t="shared" si="4"/>
        <v>0.34973869496706811</v>
      </c>
      <c r="BB33" s="78">
        <f t="shared" si="4"/>
        <v>0.34977509267387552</v>
      </c>
      <c r="BC33" s="85"/>
      <c r="BD33" s="78"/>
      <c r="BK33" s="53"/>
    </row>
    <row r="34" spans="1:64" s="38" customFormat="1">
      <c r="A34" s="87"/>
      <c r="B34" s="87"/>
      <c r="C34" s="288" t="s">
        <v>583</v>
      </c>
      <c r="D34" s="46" t="s">
        <v>578</v>
      </c>
      <c r="E34" s="38">
        <v>0</v>
      </c>
      <c r="F34" s="78">
        <f>35*(1-EXP(-0.04*F$29))/100</f>
        <v>6.3444236422706371E-2</v>
      </c>
      <c r="G34" s="78">
        <f t="shared" ref="G34:BB34" si="5">35*(1-EXP(-0.04*G$29))/100</f>
        <v>0.11538798388752623</v>
      </c>
      <c r="H34" s="78">
        <f t="shared" si="5"/>
        <v>0.15791592736709076</v>
      </c>
      <c r="I34" s="78">
        <f t="shared" si="5"/>
        <v>0.19273486255897246</v>
      </c>
      <c r="J34" s="78">
        <f t="shared" si="5"/>
        <v>0.22124219558999517</v>
      </c>
      <c r="K34" s="78">
        <f t="shared" si="5"/>
        <v>0.24458202583072924</v>
      </c>
      <c r="L34" s="78">
        <f t="shared" si="5"/>
        <v>0.26369106262043773</v>
      </c>
      <c r="M34" s="78">
        <f t="shared" si="5"/>
        <v>0.27933621870187064</v>
      </c>
      <c r="N34" s="78">
        <f t="shared" si="5"/>
        <v>0.2921453891224447</v>
      </c>
      <c r="O34" s="78">
        <f t="shared" si="5"/>
        <v>0.30263265086718555</v>
      </c>
      <c r="P34" s="78">
        <f t="shared" si="5"/>
        <v>0.31121889457318314</v>
      </c>
      <c r="Q34" s="78">
        <f t="shared" si="5"/>
        <v>0.31824871634870566</v>
      </c>
      <c r="R34" s="78">
        <f t="shared" si="5"/>
        <v>0.32400424762498309</v>
      </c>
      <c r="S34" s="78">
        <f t="shared" si="5"/>
        <v>0.32871647808117371</v>
      </c>
      <c r="T34" s="78">
        <f t="shared" si="5"/>
        <v>0.3325745260712476</v>
      </c>
      <c r="U34" s="78">
        <f t="shared" si="5"/>
        <v>0.33573322860757188</v>
      </c>
      <c r="V34" s="78">
        <f t="shared" si="5"/>
        <v>0.33831935551388592</v>
      </c>
      <c r="W34" s="78">
        <f t="shared" si="5"/>
        <v>0.3404366971434476</v>
      </c>
      <c r="X34" s="78">
        <f t="shared" si="5"/>
        <v>0.34217022985034207</v>
      </c>
      <c r="Y34" s="78">
        <f t="shared" si="5"/>
        <v>0.34358952638894302</v>
      </c>
      <c r="Z34" s="78">
        <f t="shared" si="5"/>
        <v>0.34475154811283282</v>
      </c>
      <c r="AA34" s="78">
        <f t="shared" si="5"/>
        <v>0.34570293103392602</v>
      </c>
      <c r="AB34" s="78">
        <f t="shared" si="5"/>
        <v>0.34648185748937826</v>
      </c>
      <c r="AC34" s="78">
        <f t="shared" si="5"/>
        <v>0.34711958853284303</v>
      </c>
      <c r="AD34" s="78">
        <f t="shared" si="5"/>
        <v>0.34764171855032011</v>
      </c>
      <c r="AE34" s="78">
        <f t="shared" si="5"/>
        <v>0.34806920245273376</v>
      </c>
      <c r="AF34" s="78">
        <f t="shared" si="5"/>
        <v>0.34841919667008553</v>
      </c>
      <c r="AG34" s="78">
        <f t="shared" si="5"/>
        <v>0.34870574769923096</v>
      </c>
      <c r="AH34" s="78">
        <f t="shared" si="5"/>
        <v>0.34894035583911842</v>
      </c>
      <c r="AI34" s="78">
        <f t="shared" si="5"/>
        <v>0.3491324367381668</v>
      </c>
      <c r="AJ34" s="78">
        <f t="shared" si="5"/>
        <v>0.34928969927729653</v>
      </c>
      <c r="AK34" s="78">
        <f t="shared" si="5"/>
        <v>0.34941845495438911</v>
      </c>
      <c r="AL34" s="78">
        <f t="shared" si="5"/>
        <v>0.34952387118685818</v>
      </c>
      <c r="AM34" s="78">
        <f t="shared" si="5"/>
        <v>0.34961017869825434</v>
      </c>
      <c r="AN34" s="78">
        <f t="shared" si="5"/>
        <v>0.34968084131205596</v>
      </c>
      <c r="AO34" s="78">
        <f t="shared" si="5"/>
        <v>0.34973869496706811</v>
      </c>
      <c r="AP34" s="78">
        <f t="shared" si="5"/>
        <v>0.34978606153360464</v>
      </c>
      <c r="AQ34" s="78">
        <f t="shared" si="5"/>
        <v>0.34982484199829578</v>
      </c>
      <c r="AR34" s="78">
        <f t="shared" si="5"/>
        <v>0.34985659275735709</v>
      </c>
      <c r="AS34" s="78">
        <f t="shared" si="5"/>
        <v>0.34988258808023409</v>
      </c>
      <c r="AT34" s="78">
        <f t="shared" si="5"/>
        <v>0.3499038712505097</v>
      </c>
      <c r="AU34" s="78">
        <f t="shared" si="5"/>
        <v>0.34992129643653741</v>
      </c>
      <c r="AV34" s="78">
        <f t="shared" si="5"/>
        <v>0.3499355629722164</v>
      </c>
      <c r="AW34" s="78">
        <f t="shared" si="5"/>
        <v>0.34994724342371653</v>
      </c>
      <c r="AX34" s="78">
        <f t="shared" si="5"/>
        <v>0.3499568065685697</v>
      </c>
      <c r="AY34" s="78">
        <f t="shared" si="5"/>
        <v>0.34996463620935697</v>
      </c>
      <c r="AZ34" s="78">
        <f t="shared" si="5"/>
        <v>0.34997104657705519</v>
      </c>
      <c r="BA34" s="78">
        <f t="shared" si="5"/>
        <v>0.34997629494222821</v>
      </c>
      <c r="BB34" s="78">
        <f t="shared" si="5"/>
        <v>0.34998059194019876</v>
      </c>
      <c r="BC34" s="85"/>
      <c r="BD34" s="78"/>
      <c r="BK34" s="53"/>
    </row>
    <row r="35" spans="1:64" s="38" customFormat="1">
      <c r="A35" s="87"/>
      <c r="B35" s="87"/>
      <c r="C35" s="288" t="s">
        <v>584</v>
      </c>
      <c r="D35" s="46" t="s">
        <v>579</v>
      </c>
      <c r="E35" s="38">
        <v>0</v>
      </c>
      <c r="F35" s="78">
        <f>35*(1-EXP(-0.05*F$29))/100</f>
        <v>7.7419725925008287E-2</v>
      </c>
      <c r="G35" s="78">
        <f t="shared" ref="G35:BB35" si="6">35*(1-EXP(-0.05*G$29))/100</f>
        <v>0.1377142691005783</v>
      </c>
      <c r="H35" s="78">
        <f t="shared" si="6"/>
        <v>0.18467170654064485</v>
      </c>
      <c r="I35" s="78">
        <f t="shared" si="6"/>
        <v>0.22124219558999517</v>
      </c>
      <c r="J35" s="78">
        <f t="shared" si="6"/>
        <v>0.24972332109893344</v>
      </c>
      <c r="K35" s="78">
        <f t="shared" si="6"/>
        <v>0.27190444394804958</v>
      </c>
      <c r="L35" s="78">
        <f t="shared" si="6"/>
        <v>0.28917911979234417</v>
      </c>
      <c r="M35" s="78">
        <f t="shared" si="6"/>
        <v>0.30263265086718555</v>
      </c>
      <c r="N35" s="78">
        <f t="shared" si="6"/>
        <v>0.31311027140334746</v>
      </c>
      <c r="O35" s="78">
        <f t="shared" si="6"/>
        <v>0.32127025048163538</v>
      </c>
      <c r="P35" s="78">
        <f t="shared" si="6"/>
        <v>0.32762524857765235</v>
      </c>
      <c r="Q35" s="78">
        <f t="shared" si="6"/>
        <v>0.3325745260712476</v>
      </c>
      <c r="R35" s="78">
        <f t="shared" si="6"/>
        <v>0.33642902725889728</v>
      </c>
      <c r="S35" s="78">
        <f t="shared" si="6"/>
        <v>0.33943091580218854</v>
      </c>
      <c r="T35" s="78">
        <f t="shared" si="6"/>
        <v>0.34176878895039686</v>
      </c>
      <c r="U35" s="78">
        <f t="shared" si="6"/>
        <v>0.34358952638894302</v>
      </c>
      <c r="V35" s="78">
        <f t="shared" si="6"/>
        <v>0.34500751813185027</v>
      </c>
      <c r="W35" s="78">
        <f t="shared" si="6"/>
        <v>0.3461118512116152</v>
      </c>
      <c r="X35" s="78">
        <f t="shared" si="6"/>
        <v>0.34697190667890782</v>
      </c>
      <c r="Y35" s="78">
        <f t="shared" si="6"/>
        <v>0.34764171855032011</v>
      </c>
      <c r="Z35" s="78">
        <f t="shared" si="6"/>
        <v>0.34816336856028657</v>
      </c>
      <c r="AA35" s="78">
        <f t="shared" si="6"/>
        <v>0.34856962999653762</v>
      </c>
      <c r="AB35" s="78">
        <f t="shared" si="6"/>
        <v>0.3488860267212216</v>
      </c>
      <c r="AC35" s="78">
        <f t="shared" si="6"/>
        <v>0.3491324367381668</v>
      </c>
      <c r="AD35" s="78">
        <f t="shared" si="6"/>
        <v>0.34932434105232024</v>
      </c>
      <c r="AE35" s="78">
        <f t="shared" si="6"/>
        <v>0.34947379628245784</v>
      </c>
      <c r="AF35" s="78">
        <f t="shared" si="6"/>
        <v>0.34959019213272308</v>
      </c>
      <c r="AG35" s="78">
        <f t="shared" si="6"/>
        <v>0.34968084131205596</v>
      </c>
      <c r="AH35" s="78">
        <f t="shared" si="6"/>
        <v>0.34975143896390515</v>
      </c>
      <c r="AI35" s="78">
        <f t="shared" si="6"/>
        <v>0.34980642047044824</v>
      </c>
      <c r="AJ35" s="78">
        <f t="shared" si="6"/>
        <v>0.34984924011079849</v>
      </c>
      <c r="AK35" s="78">
        <f t="shared" si="6"/>
        <v>0.34988258808023409</v>
      </c>
      <c r="AL35" s="78">
        <f t="shared" si="6"/>
        <v>0.34990855950494443</v>
      </c>
      <c r="AM35" s="78">
        <f t="shared" si="6"/>
        <v>0.34992878607084626</v>
      </c>
      <c r="AN35" s="78">
        <f t="shared" si="6"/>
        <v>0.34994453853620944</v>
      </c>
      <c r="AO35" s="78">
        <f t="shared" si="6"/>
        <v>0.3499568065685697</v>
      </c>
      <c r="AP35" s="78">
        <f t="shared" si="6"/>
        <v>0.34996636092177852</v>
      </c>
      <c r="AQ35" s="78">
        <f t="shared" si="6"/>
        <v>0.3499738018595393</v>
      </c>
      <c r="AR35" s="78">
        <f t="shared" si="6"/>
        <v>0.3499795968676942</v>
      </c>
      <c r="AS35" s="78">
        <f t="shared" si="6"/>
        <v>0.34998411002458313</v>
      </c>
      <c r="AT35" s="78">
        <f t="shared" si="6"/>
        <v>0.34998762487470236</v>
      </c>
      <c r="AU35" s="78">
        <f t="shared" si="6"/>
        <v>0.34999036224272756</v>
      </c>
      <c r="AV35" s="78">
        <f t="shared" si="6"/>
        <v>0.34999249410708921</v>
      </c>
      <c r="AW35" s="78">
        <f t="shared" si="6"/>
        <v>0.34999415440472342</v>
      </c>
      <c r="AX35" s="78">
        <f t="shared" si="6"/>
        <v>0.34999544744582112</v>
      </c>
      <c r="AY35" s="78">
        <f t="shared" si="6"/>
        <v>0.34999645446724048</v>
      </c>
      <c r="AZ35" s="78">
        <f t="shared" si="6"/>
        <v>0.3499972387363105</v>
      </c>
      <c r="BA35" s="78">
        <f t="shared" si="6"/>
        <v>0.34999784952567631</v>
      </c>
      <c r="BB35" s="78">
        <f t="shared" si="6"/>
        <v>0.34999832520891272</v>
      </c>
      <c r="BC35" s="85"/>
      <c r="BD35" s="78"/>
      <c r="BK35" s="53"/>
    </row>
    <row r="36" spans="1:64" s="38" customFormat="1">
      <c r="C36" s="46" t="s">
        <v>303</v>
      </c>
      <c r="E36" s="82">
        <f t="shared" ref="E36:X36" si="7">E29*0.52%</f>
        <v>0</v>
      </c>
      <c r="F36" s="82">
        <f t="shared" si="7"/>
        <v>2.5999999999999999E-2</v>
      </c>
      <c r="G36" s="294">
        <f t="shared" si="7"/>
        <v>5.1999999999999998E-2</v>
      </c>
      <c r="H36" s="82">
        <f t="shared" si="7"/>
        <v>7.8E-2</v>
      </c>
      <c r="I36" s="82">
        <f t="shared" si="7"/>
        <v>0.104</v>
      </c>
      <c r="J36" s="82">
        <f t="shared" si="7"/>
        <v>0.13</v>
      </c>
      <c r="K36" s="82">
        <f t="shared" si="7"/>
        <v>0.156</v>
      </c>
      <c r="L36" s="82">
        <f t="shared" si="7"/>
        <v>0.182</v>
      </c>
      <c r="M36" s="82">
        <f t="shared" si="7"/>
        <v>0.20799999999999999</v>
      </c>
      <c r="N36" s="82">
        <f t="shared" si="7"/>
        <v>0.23399999999999999</v>
      </c>
      <c r="O36" s="82">
        <f t="shared" si="7"/>
        <v>0.26</v>
      </c>
      <c r="P36" s="82">
        <f t="shared" si="7"/>
        <v>0.28599999999999998</v>
      </c>
      <c r="Q36" s="82">
        <f t="shared" si="7"/>
        <v>0.312</v>
      </c>
      <c r="R36" s="82">
        <f t="shared" si="7"/>
        <v>0.33799999999999997</v>
      </c>
      <c r="S36" s="82">
        <f t="shared" si="7"/>
        <v>0.36399999999999999</v>
      </c>
      <c r="T36" s="82">
        <f t="shared" si="7"/>
        <v>0.38999999999999996</v>
      </c>
      <c r="U36" s="82">
        <f t="shared" si="7"/>
        <v>0.41599999999999998</v>
      </c>
      <c r="V36" s="82">
        <f t="shared" si="7"/>
        <v>0.442</v>
      </c>
      <c r="W36" s="82">
        <f t="shared" si="7"/>
        <v>0.46799999999999997</v>
      </c>
      <c r="X36" s="82">
        <f t="shared" si="7"/>
        <v>0.49399999999999999</v>
      </c>
      <c r="BC36" s="50"/>
      <c r="BK36" s="53"/>
    </row>
    <row r="42" spans="1:64" s="38" customFormat="1">
      <c r="B42" s="297" t="s">
        <v>598</v>
      </c>
      <c r="C42" s="298"/>
      <c r="D42" s="51">
        <v>1960</v>
      </c>
      <c r="E42" s="51">
        <v>1961</v>
      </c>
      <c r="F42" s="51">
        <v>1962</v>
      </c>
      <c r="G42" s="51">
        <v>1963</v>
      </c>
      <c r="H42" s="51">
        <v>1964</v>
      </c>
      <c r="I42" s="51">
        <v>1965</v>
      </c>
      <c r="J42" s="51">
        <v>1966</v>
      </c>
      <c r="K42" s="51">
        <v>1967</v>
      </c>
      <c r="L42" s="51">
        <v>1968</v>
      </c>
      <c r="M42" s="51">
        <v>1969</v>
      </c>
      <c r="N42" s="51">
        <v>1970</v>
      </c>
      <c r="O42" s="51">
        <v>1971</v>
      </c>
      <c r="P42" s="51">
        <v>1972</v>
      </c>
      <c r="Q42" s="51">
        <v>1973</v>
      </c>
      <c r="R42" s="51">
        <v>1974</v>
      </c>
      <c r="S42" s="51">
        <v>1975</v>
      </c>
      <c r="T42" s="51">
        <v>1976</v>
      </c>
      <c r="U42" s="51">
        <v>1977</v>
      </c>
      <c r="V42" s="51">
        <v>1978</v>
      </c>
      <c r="W42" s="51">
        <v>1979</v>
      </c>
      <c r="X42" s="51">
        <v>1980</v>
      </c>
      <c r="Y42" s="51">
        <v>1981</v>
      </c>
      <c r="Z42" s="51">
        <v>1982</v>
      </c>
      <c r="AA42" s="51">
        <v>1983</v>
      </c>
      <c r="AB42" s="51">
        <v>1984</v>
      </c>
      <c r="AC42" s="51">
        <v>1985</v>
      </c>
      <c r="AD42" s="51">
        <v>1986</v>
      </c>
      <c r="AE42" s="51">
        <v>1987</v>
      </c>
      <c r="AF42" s="51">
        <v>1988</v>
      </c>
      <c r="AG42" s="51">
        <v>1989</v>
      </c>
      <c r="AH42" s="51">
        <v>1990</v>
      </c>
      <c r="AI42" s="51">
        <v>1991</v>
      </c>
      <c r="AJ42" s="51">
        <v>1992</v>
      </c>
      <c r="AK42" s="51">
        <v>1993</v>
      </c>
      <c r="AL42" s="51">
        <v>1994</v>
      </c>
      <c r="AM42" s="51">
        <v>1995</v>
      </c>
      <c r="AN42" s="51">
        <v>1996</v>
      </c>
      <c r="AO42" s="51">
        <v>1997</v>
      </c>
      <c r="AP42" s="51">
        <v>1998</v>
      </c>
      <c r="AQ42" s="51">
        <v>1999</v>
      </c>
      <c r="AR42" s="51">
        <v>2000</v>
      </c>
      <c r="AS42" s="51">
        <v>2001</v>
      </c>
      <c r="AT42" s="51">
        <v>2002</v>
      </c>
      <c r="AU42" s="51">
        <v>2003</v>
      </c>
      <c r="AV42" s="51">
        <v>2004</v>
      </c>
      <c r="AW42" s="51">
        <v>2005</v>
      </c>
      <c r="AX42" s="51">
        <v>2006</v>
      </c>
      <c r="AY42" s="51">
        <v>2007</v>
      </c>
      <c r="AZ42" s="51">
        <v>2008</v>
      </c>
      <c r="BA42" s="51">
        <v>2009</v>
      </c>
      <c r="BB42" s="51">
        <v>2010</v>
      </c>
      <c r="BC42" s="51">
        <v>2011</v>
      </c>
      <c r="BD42" s="51">
        <v>2012</v>
      </c>
      <c r="BE42" s="51">
        <v>2013</v>
      </c>
      <c r="BF42" s="51">
        <v>2014</v>
      </c>
      <c r="BG42" s="51">
        <v>2015</v>
      </c>
      <c r="BH42" s="51">
        <v>2016</v>
      </c>
      <c r="BI42" s="51">
        <v>2017</v>
      </c>
      <c r="BJ42" s="51">
        <v>2018</v>
      </c>
      <c r="BK42" s="65">
        <v>2019</v>
      </c>
      <c r="BL42" s="51">
        <v>2020</v>
      </c>
    </row>
    <row r="43" spans="1:64" s="38" customFormat="1">
      <c r="A43" s="309" t="s">
        <v>611</v>
      </c>
      <c r="B43" s="279" t="str">
        <f>B57</f>
        <v>LDVs gasonline - lower bound</v>
      </c>
      <c r="C43" t="s">
        <v>576</v>
      </c>
      <c r="D43" s="295">
        <f>35*(1-EXP(-0.025*D57))/100</f>
        <v>9.9959318487465851E-2</v>
      </c>
      <c r="E43" s="295">
        <f t="shared" ref="E43:I43" si="8">35*(1-EXP(-0.025*E57))/100</f>
        <v>0.10072591133522096</v>
      </c>
      <c r="F43" s="295">
        <f t="shared" si="8"/>
        <v>0.10150421590192379</v>
      </c>
      <c r="G43" s="295">
        <f t="shared" si="8"/>
        <v>0.10229449874987527</v>
      </c>
      <c r="H43" s="295">
        <f t="shared" si="8"/>
        <v>0.10309703444240208</v>
      </c>
      <c r="I43" s="295">
        <f t="shared" si="8"/>
        <v>0.10391210583891844</v>
      </c>
      <c r="J43" s="295">
        <f t="shared" ref="J43:BL43" si="9">35*(1-EXP(-0.025*J57))/100</f>
        <v>0.10474000440269306</v>
      </c>
      <c r="K43" s="295">
        <f t="shared" si="9"/>
        <v>0.105581030521931</v>
      </c>
      <c r="L43" s="295">
        <f t="shared" si="9"/>
        <v>0.106435493844812</v>
      </c>
      <c r="M43" s="295">
        <f t="shared" si="9"/>
        <v>0.10730371362915696</v>
      </c>
      <c r="N43" s="295">
        <f t="shared" si="9"/>
        <v>0.10818601910743104</v>
      </c>
      <c r="O43" s="295">
        <f t="shared" si="9"/>
        <v>0.10908274986782439</v>
      </c>
      <c r="P43" s="295">
        <f t="shared" si="9"/>
        <v>0.10999425625219014</v>
      </c>
      <c r="Q43" s="295">
        <f t="shared" si="9"/>
        <v>0.11092089977165714</v>
      </c>
      <c r="R43" s="295">
        <f t="shared" si="9"/>
        <v>0.11186305354077516</v>
      </c>
      <c r="S43" s="295">
        <f t="shared" si="9"/>
        <v>0.11282110273109151</v>
      </c>
      <c r="T43" s="295">
        <f t="shared" si="9"/>
        <v>0.11379544504510188</v>
      </c>
      <c r="U43" s="295">
        <f t="shared" si="9"/>
        <v>0.11478649121156247</v>
      </c>
      <c r="V43" s="295">
        <f t="shared" si="9"/>
        <v>0.11579466550319686</v>
      </c>
      <c r="W43" s="295">
        <f t="shared" si="9"/>
        <v>0.11682040627787757</v>
      </c>
      <c r="X43" s="295">
        <f t="shared" si="9"/>
        <v>0.11786416654441327</v>
      </c>
      <c r="Y43" s="295">
        <f t="shared" si="9"/>
        <v>0.11892641455411933</v>
      </c>
      <c r="Z43" s="295">
        <f t="shared" si="9"/>
        <v>0.12000763441940177</v>
      </c>
      <c r="AA43" s="295">
        <f t="shared" si="9"/>
        <v>0.12110832676063525</v>
      </c>
      <c r="AB43" s="295">
        <f t="shared" si="9"/>
        <v>0.12222900938266582</v>
      </c>
      <c r="AC43" s="295">
        <f t="shared" si="9"/>
        <v>0.12337021798232106</v>
      </c>
      <c r="AD43" s="295">
        <f t="shared" si="9"/>
        <v>0.124532506888358</v>
      </c>
      <c r="AE43" s="295">
        <f t="shared" si="9"/>
        <v>0.12571644983532901</v>
      </c>
      <c r="AF43" s="295">
        <f t="shared" si="9"/>
        <v>0.12692264077288906</v>
      </c>
      <c r="AG43" s="295">
        <f t="shared" si="9"/>
        <v>0.12815169471211077</v>
      </c>
      <c r="AH43" s="295">
        <f t="shared" si="9"/>
        <v>0.129404248610409</v>
      </c>
      <c r="AI43" s="295">
        <f t="shared" si="9"/>
        <v>0.13068096229670778</v>
      </c>
      <c r="AJ43" s="295">
        <f t="shared" si="9"/>
        <v>0.13198251943850259</v>
      </c>
      <c r="AK43" s="295">
        <f t="shared" si="9"/>
        <v>0.13330962855248313</v>
      </c>
      <c r="AL43" s="295">
        <f t="shared" si="9"/>
        <v>0.13466302406037847</v>
      </c>
      <c r="AM43" s="295">
        <f t="shared" si="9"/>
        <v>0.13604346739166717</v>
      </c>
      <c r="AN43" s="295">
        <f t="shared" si="9"/>
        <v>0.13745174813475614</v>
      </c>
      <c r="AO43" s="295">
        <f t="shared" si="9"/>
        <v>0.13888868523816655</v>
      </c>
      <c r="AP43" s="295">
        <f t="shared" si="9"/>
        <v>0.14035512826317034</v>
      </c>
      <c r="AQ43" s="295">
        <f t="shared" si="9"/>
        <v>0.14185195868918865</v>
      </c>
      <c r="AR43" s="295">
        <f t="shared" si="9"/>
        <v>0.14338009127308612</v>
      </c>
      <c r="AS43" s="295">
        <f t="shared" si="9"/>
        <v>0.14494047546326316</v>
      </c>
      <c r="AT43" s="295">
        <f t="shared" si="9"/>
        <v>0.14653409686915275</v>
      </c>
      <c r="AU43" s="295">
        <f t="shared" si="9"/>
        <v>0.14816197878635165</v>
      </c>
      <c r="AV43" s="295">
        <f t="shared" si="9"/>
        <v>0.14982518377714696</v>
      </c>
      <c r="AW43" s="295">
        <f t="shared" si="9"/>
        <v>0.15152481530561679</v>
      </c>
      <c r="AX43" s="295">
        <f t="shared" si="9"/>
        <v>0.15326201942576337</v>
      </c>
      <c r="AY43" s="295">
        <f t="shared" si="9"/>
        <v>0.15503798652025866</v>
      </c>
      <c r="AZ43" s="295">
        <f t="shared" si="9"/>
        <v>0.15685395308630426</v>
      </c>
      <c r="BA43" s="295">
        <f t="shared" si="9"/>
        <v>0.158711203563801</v>
      </c>
      <c r="BB43" s="295">
        <f t="shared" si="9"/>
        <v>0.16061107219943435</v>
      </c>
      <c r="BC43" s="295">
        <f t="shared" si="9"/>
        <v>0.16255494493836198</v>
      </c>
      <c r="BD43" s="295">
        <f t="shared" si="9"/>
        <v>0.16454426133286668</v>
      </c>
      <c r="BE43" s="295">
        <f t="shared" si="9"/>
        <v>0.16658051645453775</v>
      </c>
      <c r="BF43" s="295">
        <f t="shared" si="9"/>
        <v>0.16866526279317001</v>
      </c>
      <c r="BG43" s="295">
        <f t="shared" si="9"/>
        <v>0.17080011212150287</v>
      </c>
      <c r="BH43" s="295">
        <f t="shared" si="9"/>
        <v>0.17298673730003356</v>
      </c>
      <c r="BI43" s="295">
        <f t="shared" si="9"/>
        <v>0.17522687399025358</v>
      </c>
      <c r="BJ43" s="295">
        <f t="shared" si="9"/>
        <v>0.17752232223757958</v>
      </c>
      <c r="BK43" s="295">
        <f t="shared" si="9"/>
        <v>0.17987494787673663</v>
      </c>
      <c r="BL43" s="295">
        <f t="shared" si="9"/>
        <v>0.18228668370210926</v>
      </c>
    </row>
    <row r="44" spans="1:64" s="38" customFormat="1">
      <c r="A44" s="309"/>
      <c r="B44" s="279" t="str">
        <f t="shared" ref="B44:B45" si="10">B58</f>
        <v>LDVs gasoline - middle bound</v>
      </c>
      <c r="C44" t="s">
        <v>576</v>
      </c>
      <c r="D44" s="295">
        <f t="shared" ref="D44:I47" si="11">35*(1-EXP(-0.025*D58))/100</f>
        <v>0.12584235911910077</v>
      </c>
      <c r="E44" s="295">
        <f t="shared" si="11"/>
        <v>0.12666682681237498</v>
      </c>
      <c r="F44" s="295">
        <f t="shared" si="11"/>
        <v>0.12750193577932861</v>
      </c>
      <c r="G44" s="295">
        <f t="shared" si="11"/>
        <v>0.12834788740019124</v>
      </c>
      <c r="H44" s="295">
        <f t="shared" si="11"/>
        <v>0.12920488795905244</v>
      </c>
      <c r="I44" s="295">
        <f t="shared" si="11"/>
        <v>0.130073148784521</v>
      </c>
      <c r="J44" s="295">
        <f t="shared" ref="J44:BL44" si="12">35*(1-EXP(-0.025*J58))/100</f>
        <v>0.13095288639470876</v>
      </c>
      <c r="K44" s="295">
        <f t="shared" si="12"/>
        <v>0.13184432264665702</v>
      </c>
      <c r="L44" s="295">
        <f t="shared" si="12"/>
        <v>0.13274768489032204</v>
      </c>
      <c r="M44" s="295">
        <f t="shared" si="12"/>
        <v>0.13366320612723617</v>
      </c>
      <c r="N44" s="295">
        <f t="shared" si="12"/>
        <v>0.13459112517396046</v>
      </c>
      <c r="O44" s="295">
        <f t="shared" si="12"/>
        <v>0.13553168683044178</v>
      </c>
      <c r="P44" s="295">
        <f t="shared" si="12"/>
        <v>0.13648514205338619</v>
      </c>
      <c r="Q44" s="295">
        <f t="shared" si="12"/>
        <v>0.13745174813475602</v>
      </c>
      <c r="R44" s="295">
        <f t="shared" si="12"/>
        <v>0.13843176888549444</v>
      </c>
      <c r="S44" s="295">
        <f t="shared" si="12"/>
        <v>0.13942547482457404</v>
      </c>
      <c r="T44" s="295">
        <f t="shared" si="12"/>
        <v>0.14043314337346202</v>
      </c>
      <c r="U44" s="295">
        <f t="shared" si="12"/>
        <v>0.14145505905608258</v>
      </c>
      <c r="V44" s="295">
        <f t="shared" si="12"/>
        <v>0.14249151370435023</v>
      </c>
      <c r="W44" s="295">
        <f t="shared" si="12"/>
        <v>0.14354280666933295</v>
      </c>
      <c r="X44" s="295">
        <f t="shared" si="12"/>
        <v>0.14460924503809186</v>
      </c>
      <c r="Y44" s="295">
        <f t="shared" si="12"/>
        <v>0.14569114385622572</v>
      </c>
      <c r="Z44" s="295">
        <f t="shared" si="12"/>
        <v>0.14678882635612991</v>
      </c>
      <c r="AA44" s="295">
        <f t="shared" si="12"/>
        <v>0.14790262419095634</v>
      </c>
      <c r="AB44" s="295">
        <f t="shared" si="12"/>
        <v>0.14903287767423357</v>
      </c>
      <c r="AC44" s="295">
        <f t="shared" si="12"/>
        <v>0.15017993602507645</v>
      </c>
      <c r="AD44" s="295">
        <f t="shared" si="12"/>
        <v>0.15134415761887943</v>
      </c>
      <c r="AE44" s="295">
        <f t="shared" si="12"/>
        <v>0.15252591024334519</v>
      </c>
      <c r="AF44" s="295">
        <f t="shared" si="12"/>
        <v>0.15372557135965603</v>
      </c>
      <c r="AG44" s="295">
        <f t="shared" si="12"/>
        <v>0.15494352836854014</v>
      </c>
      <c r="AH44" s="295">
        <f t="shared" si="12"/>
        <v>0.15618017888092389</v>
      </c>
      <c r="AI44" s="295">
        <f t="shared" si="12"/>
        <v>0.15743593099279266</v>
      </c>
      <c r="AJ44" s="295">
        <f t="shared" si="12"/>
        <v>0.158711203563801</v>
      </c>
      <c r="AK44" s="295">
        <f t="shared" si="12"/>
        <v>0.16000642649908389</v>
      </c>
      <c r="AL44" s="295">
        <f t="shared" si="12"/>
        <v>0.16132204103361669</v>
      </c>
      <c r="AM44" s="295">
        <f t="shared" si="12"/>
        <v>0.16265850001835364</v>
      </c>
      <c r="AN44" s="295">
        <f t="shared" si="12"/>
        <v>0.16401626820724113</v>
      </c>
      <c r="AO44" s="295">
        <f t="shared" si="12"/>
        <v>0.16539582254405094</v>
      </c>
      <c r="AP44" s="295">
        <f t="shared" si="12"/>
        <v>0.16679765244780362</v>
      </c>
      <c r="AQ44" s="295">
        <f t="shared" si="12"/>
        <v>0.16822226009536029</v>
      </c>
      <c r="AR44" s="295">
        <f t="shared" si="12"/>
        <v>0.16967016069953378</v>
      </c>
      <c r="AS44" s="295">
        <f t="shared" si="12"/>
        <v>0.17114188278082237</v>
      </c>
      <c r="AT44" s="295">
        <f t="shared" si="12"/>
        <v>0.1726379684305793</v>
      </c>
      <c r="AU44" s="295">
        <f t="shared" si="12"/>
        <v>0.17415897356310808</v>
      </c>
      <c r="AV44" s="295">
        <f t="shared" si="12"/>
        <v>0.17570546815380525</v>
      </c>
      <c r="AW44" s="295">
        <f t="shared" si="12"/>
        <v>0.17727803646005172</v>
      </c>
      <c r="AX44" s="295">
        <f t="shared" si="12"/>
        <v>0.17887727722108113</v>
      </c>
      <c r="AY44" s="295">
        <f t="shared" si="12"/>
        <v>0.18050380383251274</v>
      </c>
      <c r="AZ44" s="295">
        <f t="shared" si="12"/>
        <v>0.18215824449062695</v>
      </c>
      <c r="BA44" s="295">
        <f t="shared" si="12"/>
        <v>0.1838412423007636</v>
      </c>
      <c r="BB44" s="295">
        <f t="shared" si="12"/>
        <v>0.18555345534343634</v>
      </c>
      <c r="BC44" s="295">
        <f t="shared" si="12"/>
        <v>0.18729555669085923</v>
      </c>
      <c r="BD44" s="295">
        <f t="shared" si="12"/>
        <v>0.18906823436556322</v>
      </c>
      <c r="BE44" s="295">
        <f t="shared" si="12"/>
        <v>0.19087219123162064</v>
      </c>
      <c r="BF44" s="295">
        <f t="shared" si="12"/>
        <v>0.19270814480768078</v>
      </c>
      <c r="BG44" s="295">
        <f t="shared" si="12"/>
        <v>0.1945768269895192</v>
      </c>
      <c r="BH44" s="295">
        <f t="shared" si="12"/>
        <v>0.19647898366809993</v>
      </c>
      <c r="BI44" s="295">
        <f t="shared" si="12"/>
        <v>0.19841537422720659</v>
      </c>
      <c r="BJ44" s="295">
        <f t="shared" si="12"/>
        <v>0.20038677090248758</v>
      </c>
      <c r="BK44" s="295">
        <f t="shared" si="12"/>
        <v>0.20239395798124094</v>
      </c>
      <c r="BL44" s="295">
        <f t="shared" si="12"/>
        <v>0.20443773081939207</v>
      </c>
    </row>
    <row r="45" spans="1:64" s="38" customFormat="1">
      <c r="A45" s="309"/>
      <c r="B45" s="279" t="str">
        <f t="shared" si="10"/>
        <v>LDVs gasoline - upper bound</v>
      </c>
      <c r="C45" t="s">
        <v>576</v>
      </c>
      <c r="D45" s="295">
        <f t="shared" si="11"/>
        <v>0.16911048590643568</v>
      </c>
      <c r="E45" s="295">
        <f t="shared" si="11"/>
        <v>0.16989501555822042</v>
      </c>
      <c r="F45" s="295">
        <f t="shared" si="11"/>
        <v>0.17068647571798634</v>
      </c>
      <c r="G45" s="295">
        <f t="shared" si="11"/>
        <v>0.1714849508501998</v>
      </c>
      <c r="H45" s="295">
        <f t="shared" si="11"/>
        <v>0.17229052657508423</v>
      </c>
      <c r="I45" s="295">
        <f t="shared" si="11"/>
        <v>0.17310328967977764</v>
      </c>
      <c r="J45" s="295">
        <f t="shared" ref="J45:BL45" si="13">35*(1-EXP(-0.025*J59))/100</f>
        <v>0.17392332812913469</v>
      </c>
      <c r="K45" s="295">
        <f t="shared" si="13"/>
        <v>0.17475073107612907</v>
      </c>
      <c r="L45" s="295">
        <f t="shared" si="13"/>
        <v>0.17558558887181139</v>
      </c>
      <c r="M45" s="295">
        <f t="shared" si="13"/>
        <v>0.17642799307477144</v>
      </c>
      <c r="N45" s="295">
        <f t="shared" si="13"/>
        <v>0.17727803646005158</v>
      </c>
      <c r="O45" s="295">
        <f t="shared" si="13"/>
        <v>0.17813581302745424</v>
      </c>
      <c r="P45" s="295">
        <f t="shared" si="13"/>
        <v>0.17900141800918079</v>
      </c>
      <c r="Q45" s="295">
        <f t="shared" si="13"/>
        <v>0.1798749478767365</v>
      </c>
      <c r="R45" s="295">
        <f t="shared" si="13"/>
        <v>0.18075650034702881</v>
      </c>
      <c r="S45" s="295">
        <f t="shared" si="13"/>
        <v>0.18164617438758451</v>
      </c>
      <c r="T45" s="295">
        <f t="shared" si="13"/>
        <v>0.18254407022080119</v>
      </c>
      <c r="U45" s="295">
        <f t="shared" si="13"/>
        <v>0.1834502893271468</v>
      </c>
      <c r="V45" s="295">
        <f t="shared" si="13"/>
        <v>0.18436493444721222</v>
      </c>
      <c r="W45" s="295">
        <f t="shared" si="13"/>
        <v>0.18528810958251477</v>
      </c>
      <c r="X45" s="295">
        <f t="shared" si="13"/>
        <v>0.18621991999494431</v>
      </c>
      <c r="Y45" s="295">
        <f t="shared" si="13"/>
        <v>0.18716047220473522</v>
      </c>
      <c r="Z45" s="295">
        <f t="shared" si="13"/>
        <v>0.18810987398683918</v>
      </c>
      <c r="AA45" s="295">
        <f t="shared" si="13"/>
        <v>0.18906823436556308</v>
      </c>
      <c r="AB45" s="295">
        <f t="shared" si="13"/>
        <v>0.19003566360733065</v>
      </c>
      <c r="AC45" s="295">
        <f t="shared" si="13"/>
        <v>0.19101227321140993</v>
      </c>
      <c r="AD45" s="295">
        <f t="shared" si="13"/>
        <v>0.19199817589844387</v>
      </c>
      <c r="AE45" s="295">
        <f t="shared" si="13"/>
        <v>0.19299348559660445</v>
      </c>
      <c r="AF45" s="295">
        <f t="shared" si="13"/>
        <v>0.19399831742518039</v>
      </c>
      <c r="AG45" s="295">
        <f t="shared" si="13"/>
        <v>0.19501278767539415</v>
      </c>
      <c r="AH45" s="295">
        <f t="shared" si="13"/>
        <v>0.1960370137882288</v>
      </c>
      <c r="AI45" s="295">
        <f t="shared" si="13"/>
        <v>0.19707111432902985</v>
      </c>
      <c r="AJ45" s="295">
        <f t="shared" si="13"/>
        <v>0.19811520895862947</v>
      </c>
      <c r="AK45" s="295">
        <f t="shared" si="13"/>
        <v>0.1991694184007238</v>
      </c>
      <c r="AL45" s="295">
        <f t="shared" si="13"/>
        <v>0.20023386440521179</v>
      </c>
      <c r="AM45" s="295">
        <f t="shared" si="13"/>
        <v>0.20130866970718608</v>
      </c>
      <c r="AN45" s="295">
        <f t="shared" si="13"/>
        <v>0.20239395798124085</v>
      </c>
      <c r="AO45" s="295">
        <f t="shared" si="13"/>
        <v>0.20348985379074011</v>
      </c>
      <c r="AP45" s="295">
        <f t="shared" si="13"/>
        <v>0.20459648253166143</v>
      </c>
      <c r="AQ45" s="295">
        <f t="shared" si="13"/>
        <v>0.20571397037060377</v>
      </c>
      <c r="AR45" s="295">
        <f t="shared" si="13"/>
        <v>0.20684244417651704</v>
      </c>
      <c r="AS45" s="295">
        <f t="shared" si="13"/>
        <v>0.2079820314456805</v>
      </c>
      <c r="AT45" s="295">
        <f t="shared" si="13"/>
        <v>0.20913286021941893</v>
      </c>
      <c r="AU45" s="295">
        <f t="shared" si="13"/>
        <v>0.21029505899401368</v>
      </c>
      <c r="AV45" s="295">
        <f t="shared" si="13"/>
        <v>0.21146875662221976</v>
      </c>
      <c r="AW45" s="295">
        <f t="shared" si="13"/>
        <v>0.21265408220576251</v>
      </c>
      <c r="AX45" s="295">
        <f t="shared" si="13"/>
        <v>0.21385116497813733</v>
      </c>
      <c r="AY45" s="295">
        <f t="shared" si="13"/>
        <v>0.21506013417698944</v>
      </c>
      <c r="AZ45" s="295">
        <f t="shared" si="13"/>
        <v>0.21628111890529531</v>
      </c>
      <c r="BA45" s="295">
        <f t="shared" si="13"/>
        <v>0.21751424798051106</v>
      </c>
      <c r="BB45" s="295">
        <f t="shared" si="13"/>
        <v>0.2187596497707916</v>
      </c>
      <c r="BC45" s="295">
        <f t="shared" si="13"/>
        <v>0.22001745201731965</v>
      </c>
      <c r="BD45" s="295">
        <f t="shared" si="13"/>
        <v>0.22128778164170895</v>
      </c>
      <c r="BE45" s="295">
        <f t="shared" si="13"/>
        <v>0.22257076453737568</v>
      </c>
      <c r="BF45" s="295">
        <f t="shared" si="13"/>
        <v>0.22386652534368401</v>
      </c>
      <c r="BG45" s="295">
        <f t="shared" si="13"/>
        <v>0.22517518720158913</v>
      </c>
      <c r="BH45" s="295">
        <f t="shared" si="13"/>
        <v>0.2264968714894032</v>
      </c>
      <c r="BI45" s="295">
        <f t="shared" si="13"/>
        <v>0.22783169753720933</v>
      </c>
      <c r="BJ45" s="295">
        <f t="shared" si="13"/>
        <v>0.22917978231834077</v>
      </c>
      <c r="BK45" s="295">
        <f t="shared" si="13"/>
        <v>0.23054124011622393</v>
      </c>
      <c r="BL45" s="295">
        <f t="shared" si="13"/>
        <v>0.23191618216475937</v>
      </c>
    </row>
    <row r="46" spans="1:64" s="38" customFormat="1">
      <c r="A46" s="309"/>
      <c r="B46" t="s">
        <v>574</v>
      </c>
      <c r="C46" t="s">
        <v>576</v>
      </c>
      <c r="D46" s="295">
        <f t="shared" si="11"/>
        <v>0.16168854380478667</v>
      </c>
      <c r="E46" s="295">
        <f t="shared" si="11"/>
        <v>0.16694959671621537</v>
      </c>
      <c r="F46" s="295">
        <f t="shared" si="11"/>
        <v>0.16848636205385545</v>
      </c>
      <c r="G46" s="295">
        <f t="shared" si="11"/>
        <v>0.17083049121644989</v>
      </c>
      <c r="H46" s="295">
        <f t="shared" si="11"/>
        <v>0.17336772131840328</v>
      </c>
      <c r="I46" s="295">
        <f t="shared" si="11"/>
        <v>0.17489278969480765</v>
      </c>
      <c r="J46" s="295">
        <f t="shared" ref="J46:BL46" si="14">35*(1-EXP(-0.025*J60))/100</f>
        <v>0.17718119341637273</v>
      </c>
      <c r="K46" s="295">
        <f t="shared" si="14"/>
        <v>0.1754567395078919</v>
      </c>
      <c r="L46" s="295">
        <f t="shared" si="14"/>
        <v>0.17411532501862387</v>
      </c>
      <c r="M46" s="295">
        <f t="shared" si="14"/>
        <v>0.17396190568722159</v>
      </c>
      <c r="N46" s="295">
        <f t="shared" si="14"/>
        <v>0.18065857256343029</v>
      </c>
      <c r="O46" s="295">
        <f t="shared" si="14"/>
        <v>0.1817479831158636</v>
      </c>
      <c r="P46" s="295">
        <f t="shared" si="14"/>
        <v>0.1807853514911037</v>
      </c>
      <c r="Q46" s="295">
        <f t="shared" si="14"/>
        <v>0.17920797102269526</v>
      </c>
      <c r="R46" s="295">
        <f t="shared" si="14"/>
        <v>0.18031214765969308</v>
      </c>
      <c r="S46" s="295">
        <f t="shared" si="14"/>
        <v>0.18416773957641877</v>
      </c>
      <c r="T46" s="295">
        <f t="shared" si="14"/>
        <v>0.18454059377796203</v>
      </c>
      <c r="U46" s="295">
        <f t="shared" si="14"/>
        <v>0.18327295314586201</v>
      </c>
      <c r="V46" s="295">
        <f t="shared" si="14"/>
        <v>0.18120400668932779</v>
      </c>
      <c r="W46" s="295">
        <f t="shared" si="14"/>
        <v>0.17840341337260934</v>
      </c>
      <c r="X46" s="295">
        <f t="shared" si="14"/>
        <v>0.18321618362946876</v>
      </c>
      <c r="Y46" s="295">
        <f t="shared" si="14"/>
        <v>0.18864090421531718</v>
      </c>
      <c r="Z46" s="295">
        <f t="shared" si="14"/>
        <v>0.18882481408062429</v>
      </c>
      <c r="AA46" s="295">
        <f t="shared" si="14"/>
        <v>0.18832318502573347</v>
      </c>
      <c r="AB46" s="295">
        <f t="shared" si="14"/>
        <v>0.19050204446897998</v>
      </c>
      <c r="AC46" s="295">
        <f t="shared" si="14"/>
        <v>0.19241050117613365</v>
      </c>
      <c r="AD46" s="295">
        <f t="shared" si="14"/>
        <v>0.19213097600373921</v>
      </c>
      <c r="AE46" s="295">
        <f t="shared" si="14"/>
        <v>0.19644706516449509</v>
      </c>
      <c r="AF46" s="295">
        <f t="shared" si="14"/>
        <v>0.19866996664236303</v>
      </c>
      <c r="AG46" s="295">
        <f t="shared" si="14"/>
        <v>0.20325116869776619</v>
      </c>
      <c r="AH46" s="295">
        <f t="shared" si="14"/>
        <v>0.19966293610211847</v>
      </c>
      <c r="AI46" s="295">
        <f t="shared" si="14"/>
        <v>0.19984701149579734</v>
      </c>
      <c r="AJ46" s="295">
        <f t="shared" si="14"/>
        <v>0.19803273518635478</v>
      </c>
      <c r="AK46" s="295">
        <f t="shared" si="14"/>
        <v>0.19649588437719021</v>
      </c>
      <c r="AL46" s="295">
        <f t="shared" si="14"/>
        <v>0.19968712600737956</v>
      </c>
      <c r="AM46" s="295">
        <f t="shared" si="14"/>
        <v>0.20338821161144588</v>
      </c>
      <c r="AN46" s="295">
        <f t="shared" si="14"/>
        <v>0.2012906108158557</v>
      </c>
      <c r="AO46" s="295">
        <f t="shared" si="14"/>
        <v>0.20208975831505321</v>
      </c>
      <c r="AP46" s="295">
        <f t="shared" si="14"/>
        <v>0.20493977531285434</v>
      </c>
      <c r="AQ46" s="295">
        <f t="shared" si="14"/>
        <v>0.20506486320643127</v>
      </c>
      <c r="AR46" s="295">
        <f t="shared" si="14"/>
        <v>0.20512556175113811</v>
      </c>
      <c r="AS46" s="295">
        <f t="shared" si="14"/>
        <v>0.20692574955625123</v>
      </c>
      <c r="AT46" s="295">
        <f t="shared" si="14"/>
        <v>0.20726844619323551</v>
      </c>
      <c r="AU46" s="295">
        <f t="shared" si="14"/>
        <v>0.20877936197933189</v>
      </c>
      <c r="AV46" s="295">
        <f t="shared" si="14"/>
        <v>0.20916806545201308</v>
      </c>
      <c r="AW46" s="295">
        <f t="shared" si="14"/>
        <v>0.20823093743837762</v>
      </c>
      <c r="AX46" s="295">
        <f t="shared" si="14"/>
        <v>0.20996943044231131</v>
      </c>
      <c r="AY46" s="295">
        <f t="shared" si="14"/>
        <v>0.20936706755055001</v>
      </c>
      <c r="AZ46" s="295">
        <f t="shared" si="14"/>
        <v>0.21165023610775296</v>
      </c>
      <c r="BA46" s="295">
        <f t="shared" si="14"/>
        <v>0.2148809775857288</v>
      </c>
      <c r="BB46" s="295">
        <f t="shared" si="14"/>
        <v>0.21691231168580025</v>
      </c>
      <c r="BC46" s="295">
        <f t="shared" si="14"/>
        <v>0.21913008488508598</v>
      </c>
      <c r="BD46" s="295">
        <f t="shared" si="14"/>
        <v>0.21982187135393655</v>
      </c>
      <c r="BE46" s="295">
        <f t="shared" si="14"/>
        <v>0.22227180648815145</v>
      </c>
      <c r="BF46" s="295">
        <f t="shared" si="14"/>
        <v>0.22514547896424003</v>
      </c>
      <c r="BG46" s="295">
        <f t="shared" si="14"/>
        <v>0.22621662629384473</v>
      </c>
      <c r="BH46" s="295">
        <f t="shared" si="14"/>
        <v>0.22709018838752776</v>
      </c>
      <c r="BI46" s="295">
        <f t="shared" si="14"/>
        <v>0.22965075603088564</v>
      </c>
      <c r="BJ46" s="295">
        <f t="shared" si="14"/>
        <v>0.23351879405399564</v>
      </c>
      <c r="BK46" s="296">
        <f t="shared" si="14"/>
        <v>0.2358818286307974</v>
      </c>
      <c r="BL46" s="296">
        <f t="shared" si="14"/>
        <v>0.23828388538820686</v>
      </c>
    </row>
    <row r="47" spans="1:64">
      <c r="A47" s="309"/>
      <c r="B47" t="s">
        <v>575</v>
      </c>
      <c r="C47" t="s">
        <v>576</v>
      </c>
      <c r="D47" s="296">
        <f t="shared" si="11"/>
        <v>0.10331273169180127</v>
      </c>
      <c r="E47" s="296">
        <f t="shared" si="11"/>
        <v>0.10338527434114939</v>
      </c>
      <c r="F47" s="296">
        <f t="shared" si="11"/>
        <v>0.10345791768991859</v>
      </c>
      <c r="G47" s="296">
        <f t="shared" si="11"/>
        <v>0.10353066194477294</v>
      </c>
      <c r="H47" s="296">
        <f t="shared" si="11"/>
        <v>0.10360350731293171</v>
      </c>
      <c r="I47" s="296">
        <f t="shared" si="11"/>
        <v>0.10367645400217089</v>
      </c>
      <c r="J47" s="295">
        <f t="shared" ref="J47:BL47" si="15">35*(1-EXP(-0.025*J61))/100</f>
        <v>0.10374950222082546</v>
      </c>
      <c r="K47" s="295">
        <f t="shared" si="15"/>
        <v>0.10454624203266348</v>
      </c>
      <c r="L47" s="295">
        <f t="shared" si="15"/>
        <v>0.1037315497060201</v>
      </c>
      <c r="M47" s="295">
        <f t="shared" si="15"/>
        <v>0.10280384495279234</v>
      </c>
      <c r="N47" s="295">
        <f t="shared" si="15"/>
        <v>0.10326392153126909</v>
      </c>
      <c r="O47" s="295">
        <f t="shared" si="15"/>
        <v>0.10411627358639212</v>
      </c>
      <c r="P47" s="295">
        <f t="shared" si="15"/>
        <v>0.10410236665859138</v>
      </c>
      <c r="Q47" s="295">
        <f t="shared" si="15"/>
        <v>0.10433268605546733</v>
      </c>
      <c r="R47" s="295">
        <f t="shared" si="15"/>
        <v>0.10686318047310799</v>
      </c>
      <c r="S47" s="295">
        <f t="shared" si="15"/>
        <v>0.10565949737260602</v>
      </c>
      <c r="T47" s="295">
        <f t="shared" si="15"/>
        <v>0.10663649911423817</v>
      </c>
      <c r="U47" s="295">
        <f t="shared" si="15"/>
        <v>0.10879775962076316</v>
      </c>
      <c r="V47" s="295">
        <f t="shared" si="15"/>
        <v>0.11088989530518814</v>
      </c>
      <c r="W47" s="295">
        <f t="shared" si="15"/>
        <v>0.11329131301848559</v>
      </c>
      <c r="X47" s="295">
        <f t="shared" si="15"/>
        <v>0.11804393227222754</v>
      </c>
      <c r="Y47" s="295">
        <f t="shared" si="15"/>
        <v>0.12072108067956165</v>
      </c>
      <c r="Z47" s="295">
        <f t="shared" si="15"/>
        <v>0.1262492045595055</v>
      </c>
      <c r="AA47" s="295">
        <f t="shared" si="15"/>
        <v>0.12743067185512624</v>
      </c>
      <c r="AB47" s="295">
        <f t="shared" si="15"/>
        <v>0.12939607551864454</v>
      </c>
      <c r="AC47" s="295">
        <f t="shared" si="15"/>
        <v>0.13124122456973036</v>
      </c>
      <c r="AD47" s="295">
        <f t="shared" si="15"/>
        <v>0.13215092544727181</v>
      </c>
      <c r="AE47" s="295">
        <f t="shared" si="15"/>
        <v>0.13505987239530159</v>
      </c>
      <c r="AF47" s="295">
        <f t="shared" si="15"/>
        <v>0.13865424536997389</v>
      </c>
      <c r="AG47" s="295">
        <f t="shared" si="15"/>
        <v>0.14223419841039397</v>
      </c>
      <c r="AH47" s="295">
        <f t="shared" si="15"/>
        <v>0.144971341104912</v>
      </c>
      <c r="AI47" s="295">
        <f t="shared" si="15"/>
        <v>0.15019917632540755</v>
      </c>
      <c r="AJ47" s="295">
        <f t="shared" si="15"/>
        <v>0.15115919828066629</v>
      </c>
      <c r="AK47" s="295">
        <f t="shared" si="15"/>
        <v>0.15050470416054826</v>
      </c>
      <c r="AL47" s="295">
        <f t="shared" si="15"/>
        <v>0.15090540752302267</v>
      </c>
      <c r="AM47" s="295">
        <f t="shared" si="15"/>
        <v>0.15199307144179763</v>
      </c>
      <c r="AN47" s="295">
        <f t="shared" si="15"/>
        <v>0.15206551892823059</v>
      </c>
      <c r="AO47" s="295">
        <f t="shared" si="15"/>
        <v>0.15263116064924995</v>
      </c>
      <c r="AP47" s="295">
        <f t="shared" si="15"/>
        <v>0.15291182477783313</v>
      </c>
      <c r="AQ47" s="295">
        <f t="shared" si="15"/>
        <v>0.15206350110089054</v>
      </c>
      <c r="AR47" s="295">
        <f t="shared" si="15"/>
        <v>0.15480269658518547</v>
      </c>
      <c r="AS47" s="295">
        <f t="shared" si="15"/>
        <v>0.15620814253926738</v>
      </c>
      <c r="AT47" s="295">
        <f t="shared" si="15"/>
        <v>0.1554432885513472</v>
      </c>
      <c r="AU47" s="295">
        <f t="shared" si="15"/>
        <v>0.15123638611758677</v>
      </c>
      <c r="AV47" s="295">
        <f t="shared" si="15"/>
        <v>0.15229199231954726</v>
      </c>
      <c r="AW47" s="295">
        <f t="shared" si="15"/>
        <v>0.1567938854638419</v>
      </c>
      <c r="AX47" s="295">
        <f t="shared" si="15"/>
        <v>0.15843468414081932</v>
      </c>
      <c r="AY47" s="295">
        <f t="shared" si="15"/>
        <v>0.15271429778265566</v>
      </c>
      <c r="AZ47" s="295">
        <f t="shared" si="15"/>
        <v>0.1546810295991253</v>
      </c>
      <c r="BA47" s="295">
        <f t="shared" si="15"/>
        <v>0.15433593805769516</v>
      </c>
      <c r="BB47" s="295">
        <f t="shared" si="15"/>
        <v>0.15365009885624473</v>
      </c>
      <c r="BC47" s="295">
        <f t="shared" si="15"/>
        <v>0.15554819694246846</v>
      </c>
      <c r="BD47" s="295">
        <f t="shared" si="15"/>
        <v>0.15598324302473249</v>
      </c>
      <c r="BE47" s="295">
        <f t="shared" si="15"/>
        <v>0.15650219010259434</v>
      </c>
      <c r="BF47" s="295">
        <f t="shared" si="15"/>
        <v>0.15540181131189321</v>
      </c>
      <c r="BG47" s="295">
        <f t="shared" si="15"/>
        <v>0.15802486563926671</v>
      </c>
      <c r="BH47" s="295">
        <f t="shared" si="15"/>
        <v>0.15841563768286732</v>
      </c>
      <c r="BI47" s="295">
        <f t="shared" si="15"/>
        <v>0.15978742268849414</v>
      </c>
      <c r="BJ47" s="295">
        <f t="shared" si="15"/>
        <v>0.16160058158344712</v>
      </c>
      <c r="BK47" s="296">
        <f t="shared" si="15"/>
        <v>0.1626586150635955</v>
      </c>
      <c r="BL47" s="296">
        <f t="shared" si="15"/>
        <v>0.16372995968330947</v>
      </c>
    </row>
    <row r="48" spans="1:64">
      <c r="A48" s="309"/>
    </row>
    <row r="49" spans="1:64" s="38" customFormat="1">
      <c r="B49" s="297" t="s">
        <v>609</v>
      </c>
      <c r="C49" s="298"/>
      <c r="D49" s="51">
        <v>1960</v>
      </c>
      <c r="E49" s="51">
        <v>1961</v>
      </c>
      <c r="F49" s="51">
        <v>1962</v>
      </c>
      <c r="G49" s="51">
        <v>1963</v>
      </c>
      <c r="H49" s="51">
        <v>1964</v>
      </c>
      <c r="I49" s="51">
        <v>1965</v>
      </c>
      <c r="J49" s="51">
        <v>1966</v>
      </c>
      <c r="K49" s="51">
        <v>1967</v>
      </c>
      <c r="L49" s="51">
        <v>1968</v>
      </c>
      <c r="M49" s="51">
        <v>1969</v>
      </c>
      <c r="N49" s="51">
        <v>1970</v>
      </c>
      <c r="O49" s="51">
        <v>1971</v>
      </c>
      <c r="P49" s="51">
        <v>1972</v>
      </c>
      <c r="Q49" s="51">
        <v>1973</v>
      </c>
      <c r="R49" s="51">
        <v>1974</v>
      </c>
      <c r="S49" s="51">
        <v>1975</v>
      </c>
      <c r="T49" s="51">
        <v>1976</v>
      </c>
      <c r="U49" s="51">
        <v>1977</v>
      </c>
      <c r="V49" s="51">
        <v>1978</v>
      </c>
      <c r="W49" s="51">
        <v>1979</v>
      </c>
      <c r="X49" s="51">
        <v>1980</v>
      </c>
      <c r="Y49" s="51">
        <v>1981</v>
      </c>
      <c r="Z49" s="51">
        <v>1982</v>
      </c>
      <c r="AA49" s="51">
        <v>1983</v>
      </c>
      <c r="AB49" s="51">
        <v>1984</v>
      </c>
      <c r="AC49" s="51">
        <v>1985</v>
      </c>
      <c r="AD49" s="51">
        <v>1986</v>
      </c>
      <c r="AE49" s="51">
        <v>1987</v>
      </c>
      <c r="AF49" s="51">
        <v>1988</v>
      </c>
      <c r="AG49" s="51">
        <v>1989</v>
      </c>
      <c r="AH49" s="51">
        <v>1990</v>
      </c>
      <c r="AI49" s="51">
        <v>1991</v>
      </c>
      <c r="AJ49" s="51">
        <v>1992</v>
      </c>
      <c r="AK49" s="51">
        <v>1993</v>
      </c>
      <c r="AL49" s="51">
        <v>1994</v>
      </c>
      <c r="AM49" s="51">
        <v>1995</v>
      </c>
      <c r="AN49" s="51">
        <v>1996</v>
      </c>
      <c r="AO49" s="51">
        <v>1997</v>
      </c>
      <c r="AP49" s="51">
        <v>1998</v>
      </c>
      <c r="AQ49" s="51">
        <v>1999</v>
      </c>
      <c r="AR49" s="51">
        <v>2000</v>
      </c>
      <c r="AS49" s="51">
        <v>2001</v>
      </c>
      <c r="AT49" s="51">
        <v>2002</v>
      </c>
      <c r="AU49" s="51">
        <v>2003</v>
      </c>
      <c r="AV49" s="51">
        <v>2004</v>
      </c>
      <c r="AW49" s="51">
        <v>2005</v>
      </c>
      <c r="AX49" s="51">
        <v>2006</v>
      </c>
      <c r="AY49" s="51">
        <v>2007</v>
      </c>
      <c r="AZ49" s="51">
        <v>2008</v>
      </c>
      <c r="BA49" s="51">
        <v>2009</v>
      </c>
      <c r="BB49" s="51">
        <v>2010</v>
      </c>
      <c r="BC49" s="51">
        <v>2011</v>
      </c>
      <c r="BD49" s="51">
        <v>2012</v>
      </c>
      <c r="BE49" s="51">
        <v>2013</v>
      </c>
      <c r="BF49" s="51">
        <v>2014</v>
      </c>
      <c r="BG49" s="51">
        <v>2015</v>
      </c>
      <c r="BH49" s="51">
        <v>2016</v>
      </c>
      <c r="BI49" s="51">
        <v>2017</v>
      </c>
      <c r="BJ49" s="51">
        <v>2018</v>
      </c>
      <c r="BK49" s="65">
        <v>2019</v>
      </c>
      <c r="BL49" s="51">
        <v>2020</v>
      </c>
    </row>
    <row r="50" spans="1:64" s="38" customFormat="1">
      <c r="B50" s="279" t="s">
        <v>605</v>
      </c>
      <c r="C50" t="s">
        <v>576</v>
      </c>
      <c r="D50" s="296">
        <f>D43*1.25</f>
        <v>0.12494914810933232</v>
      </c>
      <c r="E50" s="296">
        <f t="shared" ref="E50:K50" si="16">E43*1.25</f>
        <v>0.12590738916902622</v>
      </c>
      <c r="F50" s="296">
        <f t="shared" si="16"/>
        <v>0.12688026987740475</v>
      </c>
      <c r="G50" s="296">
        <f t="shared" si="16"/>
        <v>0.12786812343734408</v>
      </c>
      <c r="H50" s="296">
        <f t="shared" si="16"/>
        <v>0.1288712930530026</v>
      </c>
      <c r="I50" s="296">
        <f t="shared" si="16"/>
        <v>0.12989013229864804</v>
      </c>
      <c r="J50" s="296">
        <f t="shared" si="16"/>
        <v>0.13092500550336633</v>
      </c>
      <c r="K50" s="296">
        <f t="shared" si="16"/>
        <v>0.13197628815241375</v>
      </c>
      <c r="L50" s="296">
        <f t="shared" ref="L50:BL50" si="17">L43*1.25</f>
        <v>0.13304436730601502</v>
      </c>
      <c r="M50" s="296">
        <f t="shared" si="17"/>
        <v>0.1341296420364462</v>
      </c>
      <c r="N50" s="296">
        <f t="shared" si="17"/>
        <v>0.1352325238842888</v>
      </c>
      <c r="O50" s="296">
        <f t="shared" si="17"/>
        <v>0.13635343733478048</v>
      </c>
      <c r="P50" s="296">
        <f t="shared" si="17"/>
        <v>0.13749282031523768</v>
      </c>
      <c r="Q50" s="296">
        <f t="shared" si="17"/>
        <v>0.13865112471457142</v>
      </c>
      <c r="R50" s="296">
        <f t="shared" si="17"/>
        <v>0.13982881692596896</v>
      </c>
      <c r="S50" s="296">
        <f t="shared" si="17"/>
        <v>0.14102637841386439</v>
      </c>
      <c r="T50" s="296">
        <f t="shared" si="17"/>
        <v>0.14224430630637735</v>
      </c>
      <c r="U50" s="296">
        <f t="shared" si="17"/>
        <v>0.14348311401445307</v>
      </c>
      <c r="V50" s="296">
        <f t="shared" si="17"/>
        <v>0.14474333187899607</v>
      </c>
      <c r="W50" s="296">
        <f t="shared" si="17"/>
        <v>0.14602550784734697</v>
      </c>
      <c r="X50" s="296">
        <f t="shared" si="17"/>
        <v>0.14733020818051659</v>
      </c>
      <c r="Y50" s="296">
        <f t="shared" si="17"/>
        <v>0.14865801819264915</v>
      </c>
      <c r="Z50" s="296">
        <f t="shared" si="17"/>
        <v>0.15000954302425221</v>
      </c>
      <c r="AA50" s="296">
        <f t="shared" si="17"/>
        <v>0.15138540845079407</v>
      </c>
      <c r="AB50" s="296">
        <f t="shared" si="17"/>
        <v>0.15278626172833226</v>
      </c>
      <c r="AC50" s="296">
        <f t="shared" si="17"/>
        <v>0.15421277247790133</v>
      </c>
      <c r="AD50" s="296">
        <f t="shared" si="17"/>
        <v>0.1556656336104475</v>
      </c>
      <c r="AE50" s="296">
        <f t="shared" si="17"/>
        <v>0.15714556229416127</v>
      </c>
      <c r="AF50" s="296">
        <f t="shared" si="17"/>
        <v>0.15865330096611133</v>
      </c>
      <c r="AG50" s="296">
        <f t="shared" si="17"/>
        <v>0.16018961839013846</v>
      </c>
      <c r="AH50" s="296">
        <f t="shared" si="17"/>
        <v>0.16175531076301125</v>
      </c>
      <c r="AI50" s="296">
        <f t="shared" si="17"/>
        <v>0.16335120287088473</v>
      </c>
      <c r="AJ50" s="296">
        <f t="shared" si="17"/>
        <v>0.16497814929812823</v>
      </c>
      <c r="AK50" s="296">
        <f t="shared" si="17"/>
        <v>0.1666370356906039</v>
      </c>
      <c r="AL50" s="296">
        <f t="shared" si="17"/>
        <v>0.16832878007547308</v>
      </c>
      <c r="AM50" s="296">
        <f t="shared" si="17"/>
        <v>0.17005433423958397</v>
      </c>
      <c r="AN50" s="296">
        <f t="shared" si="17"/>
        <v>0.17181468516844517</v>
      </c>
      <c r="AO50" s="296">
        <f t="shared" si="17"/>
        <v>0.17361085654770819</v>
      </c>
      <c r="AP50" s="296">
        <f t="shared" si="17"/>
        <v>0.17544391032896292</v>
      </c>
      <c r="AQ50" s="296">
        <f t="shared" si="17"/>
        <v>0.17731494836148581</v>
      </c>
      <c r="AR50" s="296">
        <f t="shared" si="17"/>
        <v>0.17922511409135766</v>
      </c>
      <c r="AS50" s="296">
        <f t="shared" si="17"/>
        <v>0.18117559432907895</v>
      </c>
      <c r="AT50" s="296">
        <f t="shared" si="17"/>
        <v>0.18316762108644094</v>
      </c>
      <c r="AU50" s="296">
        <f t="shared" si="17"/>
        <v>0.18520247348293956</v>
      </c>
      <c r="AV50" s="296">
        <f t="shared" si="17"/>
        <v>0.18728147972143369</v>
      </c>
      <c r="AW50" s="296">
        <f t="shared" si="17"/>
        <v>0.18940601913202099</v>
      </c>
      <c r="AX50" s="296">
        <f t="shared" si="17"/>
        <v>0.1915775242822042</v>
      </c>
      <c r="AY50" s="296">
        <f t="shared" si="17"/>
        <v>0.19379748315032333</v>
      </c>
      <c r="AZ50" s="296">
        <f t="shared" si="17"/>
        <v>0.19606744135788032</v>
      </c>
      <c r="BA50" s="296">
        <f t="shared" si="17"/>
        <v>0.19838900445475124</v>
      </c>
      <c r="BB50" s="296">
        <f t="shared" si="17"/>
        <v>0.20076384024929295</v>
      </c>
      <c r="BC50" s="296">
        <f t="shared" si="17"/>
        <v>0.20319368117295247</v>
      </c>
      <c r="BD50" s="296">
        <f t="shared" si="17"/>
        <v>0.20568032666608335</v>
      </c>
      <c r="BE50" s="296">
        <f t="shared" si="17"/>
        <v>0.20822564556817219</v>
      </c>
      <c r="BF50" s="296">
        <f t="shared" si="17"/>
        <v>0.2108315784914625</v>
      </c>
      <c r="BG50" s="296">
        <f t="shared" si="17"/>
        <v>0.21350014015187857</v>
      </c>
      <c r="BH50" s="296">
        <f t="shared" si="17"/>
        <v>0.21623342162504194</v>
      </c>
      <c r="BI50" s="296">
        <f t="shared" si="17"/>
        <v>0.21903359248781698</v>
      </c>
      <c r="BJ50" s="296">
        <f t="shared" si="17"/>
        <v>0.22190290279697447</v>
      </c>
      <c r="BK50" s="296">
        <f t="shared" si="17"/>
        <v>0.22484368484592079</v>
      </c>
      <c r="BL50" s="296">
        <f t="shared" si="17"/>
        <v>0.22785835462763659</v>
      </c>
    </row>
    <row r="51" spans="1:64" s="38" customFormat="1">
      <c r="B51" s="279" t="s">
        <v>606</v>
      </c>
      <c r="C51" t="s">
        <v>576</v>
      </c>
      <c r="D51" s="296">
        <f t="shared" ref="D51:J54" si="18">D44*1.25</f>
        <v>0.15730294889887597</v>
      </c>
      <c r="E51" s="296">
        <f t="shared" si="18"/>
        <v>0.15833353351546872</v>
      </c>
      <c r="F51" s="296">
        <f t="shared" si="18"/>
        <v>0.15937741972416075</v>
      </c>
      <c r="G51" s="296">
        <f t="shared" si="18"/>
        <v>0.16043485925023904</v>
      </c>
      <c r="H51" s="296">
        <f t="shared" si="18"/>
        <v>0.16150610994881553</v>
      </c>
      <c r="I51" s="296">
        <f t="shared" si="18"/>
        <v>0.16259143598065126</v>
      </c>
      <c r="J51" s="296">
        <f t="shared" si="18"/>
        <v>0.16369110799338593</v>
      </c>
      <c r="K51" s="296">
        <f t="shared" ref="K51:BL51" si="19">K44*1.25</f>
        <v>0.16480540330832127</v>
      </c>
      <c r="L51" s="296">
        <f t="shared" si="19"/>
        <v>0.16593460611290256</v>
      </c>
      <c r="M51" s="296">
        <f t="shared" si="19"/>
        <v>0.16707900765904521</v>
      </c>
      <c r="N51" s="296">
        <f t="shared" si="19"/>
        <v>0.16823890646745057</v>
      </c>
      <c r="O51" s="296">
        <f t="shared" si="19"/>
        <v>0.16941460853805224</v>
      </c>
      <c r="P51" s="296">
        <f t="shared" si="19"/>
        <v>0.17060642756673272</v>
      </c>
      <c r="Q51" s="296">
        <f t="shared" si="19"/>
        <v>0.17181468516844503</v>
      </c>
      <c r="R51" s="296">
        <f t="shared" si="19"/>
        <v>0.17303971110686805</v>
      </c>
      <c r="S51" s="296">
        <f t="shared" si="19"/>
        <v>0.17428184353071755</v>
      </c>
      <c r="T51" s="296">
        <f t="shared" si="19"/>
        <v>0.17554142921682753</v>
      </c>
      <c r="U51" s="296">
        <f t="shared" si="19"/>
        <v>0.17681882382010322</v>
      </c>
      <c r="V51" s="296">
        <f t="shared" si="19"/>
        <v>0.17811439213043778</v>
      </c>
      <c r="W51" s="296">
        <f t="shared" si="19"/>
        <v>0.17942850833666618</v>
      </c>
      <c r="X51" s="296">
        <f t="shared" si="19"/>
        <v>0.18076155629761481</v>
      </c>
      <c r="Y51" s="296">
        <f t="shared" si="19"/>
        <v>0.18211392982028216</v>
      </c>
      <c r="Z51" s="296">
        <f t="shared" si="19"/>
        <v>0.18348603294516239</v>
      </c>
      <c r="AA51" s="296">
        <f t="shared" si="19"/>
        <v>0.18487828023869543</v>
      </c>
      <c r="AB51" s="296">
        <f t="shared" si="19"/>
        <v>0.18629109709279196</v>
      </c>
      <c r="AC51" s="296">
        <f t="shared" si="19"/>
        <v>0.18772492003134555</v>
      </c>
      <c r="AD51" s="296">
        <f t="shared" si="19"/>
        <v>0.18918019702359928</v>
      </c>
      <c r="AE51" s="296">
        <f t="shared" si="19"/>
        <v>0.19065738780418148</v>
      </c>
      <c r="AF51" s="296">
        <f t="shared" si="19"/>
        <v>0.19215696419957004</v>
      </c>
      <c r="AG51" s="296">
        <f t="shared" si="19"/>
        <v>0.19367941046067516</v>
      </c>
      <c r="AH51" s="296">
        <f t="shared" si="19"/>
        <v>0.19522522360115485</v>
      </c>
      <c r="AI51" s="296">
        <f t="shared" si="19"/>
        <v>0.19679491374099081</v>
      </c>
      <c r="AJ51" s="296">
        <f t="shared" si="19"/>
        <v>0.19838900445475124</v>
      </c>
      <c r="AK51" s="296">
        <f t="shared" si="19"/>
        <v>0.20000803312385487</v>
      </c>
      <c r="AL51" s="296">
        <f t="shared" si="19"/>
        <v>0.20165255129202087</v>
      </c>
      <c r="AM51" s="296">
        <f t="shared" si="19"/>
        <v>0.20332312502294203</v>
      </c>
      <c r="AN51" s="296">
        <f t="shared" si="19"/>
        <v>0.20502033525905142</v>
      </c>
      <c r="AO51" s="296">
        <f t="shared" si="19"/>
        <v>0.20674477818006368</v>
      </c>
      <c r="AP51" s="296">
        <f t="shared" si="19"/>
        <v>0.20849706555975453</v>
      </c>
      <c r="AQ51" s="296">
        <f t="shared" si="19"/>
        <v>0.21027782511920035</v>
      </c>
      <c r="AR51" s="296">
        <f t="shared" si="19"/>
        <v>0.21208770087441722</v>
      </c>
      <c r="AS51" s="296">
        <f t="shared" si="19"/>
        <v>0.21392735347602798</v>
      </c>
      <c r="AT51" s="296">
        <f t="shared" si="19"/>
        <v>0.21579746053822413</v>
      </c>
      <c r="AU51" s="296">
        <f t="shared" si="19"/>
        <v>0.2176987169538851</v>
      </c>
      <c r="AV51" s="296">
        <f t="shared" si="19"/>
        <v>0.21963183519225657</v>
      </c>
      <c r="AW51" s="296">
        <f t="shared" si="19"/>
        <v>0.22159754557506464</v>
      </c>
      <c r="AX51" s="296">
        <f t="shared" si="19"/>
        <v>0.22359659652635142</v>
      </c>
      <c r="AY51" s="296">
        <f t="shared" si="19"/>
        <v>0.22562975479064093</v>
      </c>
      <c r="AZ51" s="296">
        <f t="shared" si="19"/>
        <v>0.22769780561328368</v>
      </c>
      <c r="BA51" s="296">
        <f t="shared" si="19"/>
        <v>0.2298015528759545</v>
      </c>
      <c r="BB51" s="296">
        <f t="shared" si="19"/>
        <v>0.23194181917929543</v>
      </c>
      <c r="BC51" s="296">
        <f t="shared" si="19"/>
        <v>0.23411944586357403</v>
      </c>
      <c r="BD51" s="296">
        <f t="shared" si="19"/>
        <v>0.23633529295695402</v>
      </c>
      <c r="BE51" s="296">
        <f t="shared" si="19"/>
        <v>0.23859023903952581</v>
      </c>
      <c r="BF51" s="296">
        <f t="shared" si="19"/>
        <v>0.24088518100960099</v>
      </c>
      <c r="BG51" s="296">
        <f t="shared" si="19"/>
        <v>0.24322103373689899</v>
      </c>
      <c r="BH51" s="296">
        <f t="shared" si="19"/>
        <v>0.24559872958512491</v>
      </c>
      <c r="BI51" s="296">
        <f t="shared" si="19"/>
        <v>0.24801921778400823</v>
      </c>
      <c r="BJ51" s="296">
        <f t="shared" si="19"/>
        <v>0.25048346362810947</v>
      </c>
      <c r="BK51" s="296">
        <f t="shared" si="19"/>
        <v>0.25299244747655114</v>
      </c>
      <c r="BL51" s="296">
        <f t="shared" si="19"/>
        <v>0.25554716352424006</v>
      </c>
    </row>
    <row r="52" spans="1:64" s="38" customFormat="1">
      <c r="B52" s="279" t="s">
        <v>607</v>
      </c>
      <c r="C52" t="s">
        <v>576</v>
      </c>
      <c r="D52" s="296">
        <f t="shared" si="18"/>
        <v>0.21138810738304459</v>
      </c>
      <c r="E52" s="296">
        <f t="shared" si="18"/>
        <v>0.21236876944777552</v>
      </c>
      <c r="F52" s="296">
        <f t="shared" si="18"/>
        <v>0.21335809464748293</v>
      </c>
      <c r="G52" s="296">
        <f t="shared" si="18"/>
        <v>0.21435618856274974</v>
      </c>
      <c r="H52" s="296">
        <f t="shared" si="18"/>
        <v>0.21536315821885529</v>
      </c>
      <c r="I52" s="296">
        <f t="shared" si="18"/>
        <v>0.21637911209972205</v>
      </c>
      <c r="J52" s="296">
        <f t="shared" si="18"/>
        <v>0.21740416016141836</v>
      </c>
      <c r="K52" s="296">
        <f t="shared" ref="K52:BL52" si="20">K45*1.25</f>
        <v>0.21843841384516133</v>
      </c>
      <c r="L52" s="296">
        <f t="shared" si="20"/>
        <v>0.21948198608976424</v>
      </c>
      <c r="M52" s="296">
        <f t="shared" si="20"/>
        <v>0.2205349913434643</v>
      </c>
      <c r="N52" s="296">
        <f t="shared" si="20"/>
        <v>0.22159754557506448</v>
      </c>
      <c r="O52" s="296">
        <f t="shared" si="20"/>
        <v>0.22266976628431778</v>
      </c>
      <c r="P52" s="296">
        <f t="shared" si="20"/>
        <v>0.22375177251147599</v>
      </c>
      <c r="Q52" s="296">
        <f t="shared" si="20"/>
        <v>0.22484368484592063</v>
      </c>
      <c r="R52" s="296">
        <f t="shared" si="20"/>
        <v>0.22594562543378602</v>
      </c>
      <c r="S52" s="296">
        <f t="shared" si="20"/>
        <v>0.22705771798448066</v>
      </c>
      <c r="T52" s="296">
        <f t="shared" si="20"/>
        <v>0.22818008777600149</v>
      </c>
      <c r="U52" s="296">
        <f t="shared" si="20"/>
        <v>0.2293128616589335</v>
      </c>
      <c r="V52" s="296">
        <f t="shared" si="20"/>
        <v>0.23045616805901528</v>
      </c>
      <c r="W52" s="296">
        <f t="shared" si="20"/>
        <v>0.23161013697814345</v>
      </c>
      <c r="X52" s="296">
        <f t="shared" si="20"/>
        <v>0.2327748999936804</v>
      </c>
      <c r="Y52" s="296">
        <f t="shared" si="20"/>
        <v>0.23395059025591902</v>
      </c>
      <c r="Z52" s="296">
        <f t="shared" si="20"/>
        <v>0.23513734248354898</v>
      </c>
      <c r="AA52" s="296">
        <f t="shared" si="20"/>
        <v>0.23633529295695385</v>
      </c>
      <c r="AB52" s="296">
        <f t="shared" si="20"/>
        <v>0.2375445795091633</v>
      </c>
      <c r="AC52" s="296">
        <f t="shared" si="20"/>
        <v>0.2387653415142624</v>
      </c>
      <c r="AD52" s="296">
        <f t="shared" si="20"/>
        <v>0.23999771987305485</v>
      </c>
      <c r="AE52" s="296">
        <f t="shared" si="20"/>
        <v>0.24124185699575557</v>
      </c>
      <c r="AF52" s="296">
        <f t="shared" si="20"/>
        <v>0.24249789678147549</v>
      </c>
      <c r="AG52" s="296">
        <f t="shared" si="20"/>
        <v>0.2437659845942427</v>
      </c>
      <c r="AH52" s="296">
        <f t="shared" si="20"/>
        <v>0.245046267235286</v>
      </c>
      <c r="AI52" s="296">
        <f t="shared" si="20"/>
        <v>0.2463388929112873</v>
      </c>
      <c r="AJ52" s="296">
        <f t="shared" si="20"/>
        <v>0.24764401119828683</v>
      </c>
      <c r="AK52" s="296">
        <f t="shared" si="20"/>
        <v>0.24896177300090475</v>
      </c>
      <c r="AL52" s="296">
        <f t="shared" si="20"/>
        <v>0.25029233050651473</v>
      </c>
      <c r="AM52" s="296">
        <f t="shared" si="20"/>
        <v>0.25163583713398263</v>
      </c>
      <c r="AN52" s="296">
        <f t="shared" si="20"/>
        <v>0.25299244747655109</v>
      </c>
      <c r="AO52" s="296">
        <f t="shared" si="20"/>
        <v>0.25436231723842512</v>
      </c>
      <c r="AP52" s="296">
        <f t="shared" si="20"/>
        <v>0.25574560316457678</v>
      </c>
      <c r="AQ52" s="296">
        <f t="shared" si="20"/>
        <v>0.25714246296325471</v>
      </c>
      <c r="AR52" s="296">
        <f t="shared" si="20"/>
        <v>0.25855305522064631</v>
      </c>
      <c r="AS52" s="296">
        <f t="shared" si="20"/>
        <v>0.25997753930710066</v>
      </c>
      <c r="AT52" s="296">
        <f t="shared" si="20"/>
        <v>0.26141607527427368</v>
      </c>
      <c r="AU52" s="296">
        <f t="shared" si="20"/>
        <v>0.26286882374251708</v>
      </c>
      <c r="AV52" s="296">
        <f t="shared" si="20"/>
        <v>0.26433594577777469</v>
      </c>
      <c r="AW52" s="296">
        <f t="shared" si="20"/>
        <v>0.26581760275720312</v>
      </c>
      <c r="AX52" s="296">
        <f t="shared" si="20"/>
        <v>0.26731395622267168</v>
      </c>
      <c r="AY52" s="296">
        <f t="shared" si="20"/>
        <v>0.26882516772123677</v>
      </c>
      <c r="AZ52" s="296">
        <f t="shared" si="20"/>
        <v>0.27035139863161911</v>
      </c>
      <c r="BA52" s="296">
        <f t="shared" si="20"/>
        <v>0.27189280997563881</v>
      </c>
      <c r="BB52" s="296">
        <f t="shared" si="20"/>
        <v>0.27344956221348948</v>
      </c>
      <c r="BC52" s="296">
        <f t="shared" si="20"/>
        <v>0.27502181502164957</v>
      </c>
      <c r="BD52" s="296">
        <f t="shared" si="20"/>
        <v>0.27660972705213621</v>
      </c>
      <c r="BE52" s="296">
        <f t="shared" si="20"/>
        <v>0.27821345567171962</v>
      </c>
      <c r="BF52" s="296">
        <f t="shared" si="20"/>
        <v>0.27983315667960501</v>
      </c>
      <c r="BG52" s="296">
        <f t="shared" si="20"/>
        <v>0.28146898400198639</v>
      </c>
      <c r="BH52" s="296">
        <f t="shared" si="20"/>
        <v>0.28312108936175401</v>
      </c>
      <c r="BI52" s="296">
        <f t="shared" si="20"/>
        <v>0.28478962192151169</v>
      </c>
      <c r="BJ52" s="296">
        <f t="shared" si="20"/>
        <v>0.28647472789792594</v>
      </c>
      <c r="BK52" s="296">
        <f t="shared" si="20"/>
        <v>0.28817655014527993</v>
      </c>
      <c r="BL52" s="296">
        <f t="shared" si="20"/>
        <v>0.28989522770594922</v>
      </c>
    </row>
    <row r="53" spans="1:64" s="38" customFormat="1">
      <c r="A53" t="s">
        <v>77</v>
      </c>
      <c r="B53" t="s">
        <v>601</v>
      </c>
      <c r="C53" t="s">
        <v>576</v>
      </c>
      <c r="D53" s="295">
        <f t="shared" si="18"/>
        <v>0.20211067975598335</v>
      </c>
      <c r="E53" s="295">
        <f t="shared" si="18"/>
        <v>0.20868699589526921</v>
      </c>
      <c r="F53" s="295">
        <f t="shared" si="18"/>
        <v>0.21060795256731932</v>
      </c>
      <c r="G53" s="295">
        <f t="shared" si="18"/>
        <v>0.21353811402056236</v>
      </c>
      <c r="H53" s="295">
        <f t="shared" si="18"/>
        <v>0.2167096516480041</v>
      </c>
      <c r="I53" s="295">
        <f t="shared" si="18"/>
        <v>0.21861598711850955</v>
      </c>
      <c r="J53" s="295">
        <f t="shared" si="18"/>
        <v>0.22147649177046591</v>
      </c>
      <c r="K53" s="295">
        <f t="shared" ref="K53:BL53" si="21">K46*1.25</f>
        <v>0.21932092438486486</v>
      </c>
      <c r="L53" s="295">
        <f t="shared" si="21"/>
        <v>0.21764415627327982</v>
      </c>
      <c r="M53" s="295">
        <f t="shared" si="21"/>
        <v>0.21745238210902698</v>
      </c>
      <c r="N53" s="295">
        <f t="shared" si="21"/>
        <v>0.22582321570428787</v>
      </c>
      <c r="O53" s="295">
        <f t="shared" si="21"/>
        <v>0.2271849788948295</v>
      </c>
      <c r="P53" s="295">
        <f t="shared" si="21"/>
        <v>0.22598168936387963</v>
      </c>
      <c r="Q53" s="295">
        <f t="shared" si="21"/>
        <v>0.22400996377836907</v>
      </c>
      <c r="R53" s="295">
        <f t="shared" si="21"/>
        <v>0.22539018457461635</v>
      </c>
      <c r="S53" s="295">
        <f t="shared" si="21"/>
        <v>0.23020967447052346</v>
      </c>
      <c r="T53" s="295">
        <f t="shared" si="21"/>
        <v>0.23067574222245255</v>
      </c>
      <c r="U53" s="295">
        <f t="shared" si="21"/>
        <v>0.22909119143232751</v>
      </c>
      <c r="V53" s="295">
        <f t="shared" si="21"/>
        <v>0.22650500836165974</v>
      </c>
      <c r="W53" s="295">
        <f t="shared" si="21"/>
        <v>0.22300426671576168</v>
      </c>
      <c r="X53" s="295">
        <f t="shared" si="21"/>
        <v>0.22902022953683596</v>
      </c>
      <c r="Y53" s="295">
        <f t="shared" si="21"/>
        <v>0.23580113026914648</v>
      </c>
      <c r="Z53" s="295">
        <f t="shared" si="21"/>
        <v>0.23603101760078038</v>
      </c>
      <c r="AA53" s="295">
        <f t="shared" si="21"/>
        <v>0.23540398128216683</v>
      </c>
      <c r="AB53" s="295">
        <f t="shared" si="21"/>
        <v>0.23812755558622498</v>
      </c>
      <c r="AC53" s="295">
        <f t="shared" si="21"/>
        <v>0.24051312647016707</v>
      </c>
      <c r="AD53" s="295">
        <f t="shared" si="21"/>
        <v>0.24016372000467401</v>
      </c>
      <c r="AE53" s="295">
        <f t="shared" si="21"/>
        <v>0.24555883145561885</v>
      </c>
      <c r="AF53" s="295">
        <f t="shared" si="21"/>
        <v>0.24833745830295378</v>
      </c>
      <c r="AG53" s="295">
        <f t="shared" si="21"/>
        <v>0.25406396087220773</v>
      </c>
      <c r="AH53" s="295">
        <f t="shared" si="21"/>
        <v>0.24957867012764809</v>
      </c>
      <c r="AI53" s="295">
        <f t="shared" si="21"/>
        <v>0.24980876436974667</v>
      </c>
      <c r="AJ53" s="295">
        <f t="shared" si="21"/>
        <v>0.24754091898294348</v>
      </c>
      <c r="AK53" s="295">
        <f t="shared" si="21"/>
        <v>0.24561985547148776</v>
      </c>
      <c r="AL53" s="295">
        <f t="shared" si="21"/>
        <v>0.24960890750922446</v>
      </c>
      <c r="AM53" s="295">
        <f t="shared" si="21"/>
        <v>0.25423526451430734</v>
      </c>
      <c r="AN53" s="295">
        <f t="shared" si="21"/>
        <v>0.25161326351981961</v>
      </c>
      <c r="AO53" s="295">
        <f t="shared" si="21"/>
        <v>0.2526121978938165</v>
      </c>
      <c r="AP53" s="295">
        <f t="shared" si="21"/>
        <v>0.25617471914106793</v>
      </c>
      <c r="AQ53" s="295">
        <f t="shared" si="21"/>
        <v>0.25633107900803909</v>
      </c>
      <c r="AR53" s="295">
        <f t="shared" si="21"/>
        <v>0.25640695218892262</v>
      </c>
      <c r="AS53" s="295">
        <f t="shared" si="21"/>
        <v>0.25865718694531403</v>
      </c>
      <c r="AT53" s="295">
        <f t="shared" si="21"/>
        <v>0.2590855577415444</v>
      </c>
      <c r="AU53" s="295">
        <f t="shared" si="21"/>
        <v>0.26097420247416486</v>
      </c>
      <c r="AV53" s="295">
        <f t="shared" si="21"/>
        <v>0.26146008181501634</v>
      </c>
      <c r="AW53" s="295">
        <f t="shared" si="21"/>
        <v>0.26028867179797199</v>
      </c>
      <c r="AX53" s="295">
        <f t="shared" si="21"/>
        <v>0.26246178805288911</v>
      </c>
      <c r="AY53" s="295">
        <f t="shared" si="21"/>
        <v>0.26170883443818749</v>
      </c>
      <c r="AZ53" s="295">
        <f t="shared" si="21"/>
        <v>0.26456279513469122</v>
      </c>
      <c r="BA53" s="295">
        <f t="shared" si="21"/>
        <v>0.26860122198216102</v>
      </c>
      <c r="BB53" s="295">
        <f t="shared" si="21"/>
        <v>0.27114038960725029</v>
      </c>
      <c r="BC53" s="295">
        <f t="shared" si="21"/>
        <v>0.27391260610635748</v>
      </c>
      <c r="BD53" s="295">
        <f t="shared" si="21"/>
        <v>0.2747773391924207</v>
      </c>
      <c r="BE53" s="295">
        <f t="shared" si="21"/>
        <v>0.27783975811018929</v>
      </c>
      <c r="BF53" s="295">
        <f t="shared" si="21"/>
        <v>0.28143184870530003</v>
      </c>
      <c r="BG53" s="295">
        <f t="shared" si="21"/>
        <v>0.28277078286730589</v>
      </c>
      <c r="BH53" s="295">
        <f t="shared" si="21"/>
        <v>0.28386273548440971</v>
      </c>
      <c r="BI53" s="295">
        <f t="shared" si="21"/>
        <v>0.28706344503860703</v>
      </c>
      <c r="BJ53" s="295">
        <f t="shared" si="21"/>
        <v>0.29189849256749456</v>
      </c>
      <c r="BK53" s="296">
        <f t="shared" si="21"/>
        <v>0.29485228578849676</v>
      </c>
      <c r="BL53" s="296">
        <f t="shared" si="21"/>
        <v>0.29785485673525858</v>
      </c>
    </row>
    <row r="54" spans="1:64">
      <c r="A54" t="s">
        <v>223</v>
      </c>
      <c r="B54" t="s">
        <v>608</v>
      </c>
      <c r="C54" t="s">
        <v>576</v>
      </c>
      <c r="D54" s="296">
        <f t="shared" si="18"/>
        <v>0.12914091461475158</v>
      </c>
      <c r="E54" s="296">
        <f t="shared" si="18"/>
        <v>0.12923159292643674</v>
      </c>
      <c r="F54" s="296">
        <f t="shared" si="18"/>
        <v>0.12932239711239824</v>
      </c>
      <c r="G54" s="296">
        <f t="shared" si="18"/>
        <v>0.12941332743096617</v>
      </c>
      <c r="H54" s="296">
        <f t="shared" si="18"/>
        <v>0.12950438414116464</v>
      </c>
      <c r="I54" s="296">
        <f t="shared" si="18"/>
        <v>0.12959556750271362</v>
      </c>
      <c r="J54" s="296">
        <f t="shared" si="18"/>
        <v>0.12968687777603183</v>
      </c>
      <c r="K54" s="296">
        <f t="shared" ref="K54:BL54" si="22">K47*1.25</f>
        <v>0.13068280254082934</v>
      </c>
      <c r="L54" s="296">
        <f t="shared" si="22"/>
        <v>0.12966443713252512</v>
      </c>
      <c r="M54" s="296">
        <f t="shared" si="22"/>
        <v>0.12850480619099042</v>
      </c>
      <c r="N54" s="296">
        <f t="shared" si="22"/>
        <v>0.12907990191408636</v>
      </c>
      <c r="O54" s="296">
        <f t="shared" si="22"/>
        <v>0.13014534198299016</v>
      </c>
      <c r="P54" s="296">
        <f t="shared" si="22"/>
        <v>0.13012795832323923</v>
      </c>
      <c r="Q54" s="296">
        <f t="shared" si="22"/>
        <v>0.13041585756933416</v>
      </c>
      <c r="R54" s="296">
        <f t="shared" si="22"/>
        <v>0.13357897559138499</v>
      </c>
      <c r="S54" s="296">
        <f t="shared" si="22"/>
        <v>0.13207437171575753</v>
      </c>
      <c r="T54" s="296">
        <f t="shared" si="22"/>
        <v>0.1332956238927977</v>
      </c>
      <c r="U54" s="296">
        <f t="shared" si="22"/>
        <v>0.13599719952595396</v>
      </c>
      <c r="V54" s="296">
        <f t="shared" si="22"/>
        <v>0.13861236913148517</v>
      </c>
      <c r="W54" s="296">
        <f t="shared" si="22"/>
        <v>0.14161414127310698</v>
      </c>
      <c r="X54" s="296">
        <f t="shared" si="22"/>
        <v>0.14755491534028442</v>
      </c>
      <c r="Y54" s="296">
        <f t="shared" si="22"/>
        <v>0.15090135084945205</v>
      </c>
      <c r="Z54" s="296">
        <f t="shared" si="22"/>
        <v>0.15781150569938188</v>
      </c>
      <c r="AA54" s="296">
        <f t="shared" si="22"/>
        <v>0.1592883398189078</v>
      </c>
      <c r="AB54" s="296">
        <f t="shared" si="22"/>
        <v>0.16174509439830567</v>
      </c>
      <c r="AC54" s="296">
        <f t="shared" si="22"/>
        <v>0.16405153071216294</v>
      </c>
      <c r="AD54" s="296">
        <f t="shared" si="22"/>
        <v>0.16518865680908976</v>
      </c>
      <c r="AE54" s="296">
        <f t="shared" si="22"/>
        <v>0.16882484049412699</v>
      </c>
      <c r="AF54" s="296">
        <f t="shared" si="22"/>
        <v>0.17331780671246738</v>
      </c>
      <c r="AG54" s="296">
        <f t="shared" si="22"/>
        <v>0.17779274801299247</v>
      </c>
      <c r="AH54" s="296">
        <f t="shared" si="22"/>
        <v>0.18121417638114001</v>
      </c>
      <c r="AI54" s="296">
        <f t="shared" si="22"/>
        <v>0.18774897040675945</v>
      </c>
      <c r="AJ54" s="296">
        <f t="shared" si="22"/>
        <v>0.18894899785083286</v>
      </c>
      <c r="AK54" s="296">
        <f t="shared" si="22"/>
        <v>0.18813088020068533</v>
      </c>
      <c r="AL54" s="296">
        <f t="shared" si="22"/>
        <v>0.18863175940377835</v>
      </c>
      <c r="AM54" s="296">
        <f t="shared" si="22"/>
        <v>0.18999133930224704</v>
      </c>
      <c r="AN54" s="296">
        <f t="shared" si="22"/>
        <v>0.19008189866028824</v>
      </c>
      <c r="AO54" s="296">
        <f t="shared" si="22"/>
        <v>0.19078895081156244</v>
      </c>
      <c r="AP54" s="296">
        <f t="shared" si="22"/>
        <v>0.19113978097229142</v>
      </c>
      <c r="AQ54" s="296">
        <f t="shared" si="22"/>
        <v>0.19007937637611316</v>
      </c>
      <c r="AR54" s="296">
        <f t="shared" si="22"/>
        <v>0.19350337073148183</v>
      </c>
      <c r="AS54" s="296">
        <f t="shared" si="22"/>
        <v>0.19526017817408423</v>
      </c>
      <c r="AT54" s="296">
        <f t="shared" si="22"/>
        <v>0.19430411068918402</v>
      </c>
      <c r="AU54" s="296">
        <f t="shared" si="22"/>
        <v>0.18904548264698345</v>
      </c>
      <c r="AV54" s="296">
        <f t="shared" si="22"/>
        <v>0.19036499039943408</v>
      </c>
      <c r="AW54" s="296">
        <f t="shared" si="22"/>
        <v>0.19599235682980237</v>
      </c>
      <c r="AX54" s="296">
        <f t="shared" si="22"/>
        <v>0.19804335517602414</v>
      </c>
      <c r="AY54" s="296">
        <f t="shared" si="22"/>
        <v>0.19089287222831958</v>
      </c>
      <c r="AZ54" s="296">
        <f t="shared" si="22"/>
        <v>0.19335128699890664</v>
      </c>
      <c r="BA54" s="296">
        <f t="shared" si="22"/>
        <v>0.19291992257211896</v>
      </c>
      <c r="BB54" s="296">
        <f t="shared" si="22"/>
        <v>0.1920626235703059</v>
      </c>
      <c r="BC54" s="296">
        <f t="shared" si="22"/>
        <v>0.19443524617808558</v>
      </c>
      <c r="BD54" s="296">
        <f t="shared" si="22"/>
        <v>0.19497905378091562</v>
      </c>
      <c r="BE54" s="296">
        <f t="shared" si="22"/>
        <v>0.19562773762824293</v>
      </c>
      <c r="BF54" s="296">
        <f t="shared" si="22"/>
        <v>0.19425226413986652</v>
      </c>
      <c r="BG54" s="296">
        <f t="shared" si="22"/>
        <v>0.19753108204908337</v>
      </c>
      <c r="BH54" s="296">
        <f t="shared" si="22"/>
        <v>0.19801954710358416</v>
      </c>
      <c r="BI54" s="296">
        <f t="shared" si="22"/>
        <v>0.19973427836061766</v>
      </c>
      <c r="BJ54" s="296">
        <f t="shared" si="22"/>
        <v>0.2020007269793089</v>
      </c>
      <c r="BK54" s="296">
        <f t="shared" si="22"/>
        <v>0.20332326882949436</v>
      </c>
      <c r="BL54" s="296">
        <f t="shared" si="22"/>
        <v>0.20466244960413685</v>
      </c>
    </row>
    <row r="56" spans="1:64" s="38" customFormat="1">
      <c r="C56" s="201"/>
      <c r="D56" s="51">
        <v>1960</v>
      </c>
      <c r="E56" s="51">
        <v>1961</v>
      </c>
      <c r="F56" s="51">
        <v>1962</v>
      </c>
      <c r="G56" s="51">
        <v>1963</v>
      </c>
      <c r="H56" s="51">
        <v>1964</v>
      </c>
      <c r="I56" s="51">
        <v>1965</v>
      </c>
      <c r="J56" s="51">
        <v>1966</v>
      </c>
      <c r="K56" s="51">
        <v>1967</v>
      </c>
      <c r="L56" s="51">
        <v>1968</v>
      </c>
      <c r="M56" s="51">
        <v>1969</v>
      </c>
      <c r="N56" s="51">
        <v>1970</v>
      </c>
      <c r="O56" s="51">
        <v>1971</v>
      </c>
      <c r="P56" s="51">
        <v>1972</v>
      </c>
      <c r="Q56" s="51">
        <v>1973</v>
      </c>
      <c r="R56" s="51">
        <v>1974</v>
      </c>
      <c r="S56" s="51">
        <v>1975</v>
      </c>
      <c r="T56" s="51">
        <v>1976</v>
      </c>
      <c r="U56" s="51">
        <v>1977</v>
      </c>
      <c r="V56" s="51">
        <v>1978</v>
      </c>
      <c r="W56" s="51">
        <v>1979</v>
      </c>
      <c r="X56" s="51">
        <v>1980</v>
      </c>
      <c r="Y56" s="51">
        <v>1981</v>
      </c>
      <c r="Z56" s="51">
        <v>1982</v>
      </c>
      <c r="AA56" s="51">
        <v>1983</v>
      </c>
      <c r="AB56" s="51">
        <v>1984</v>
      </c>
      <c r="AC56" s="51">
        <v>1985</v>
      </c>
      <c r="AD56" s="51">
        <v>1986</v>
      </c>
      <c r="AE56" s="51">
        <v>1987</v>
      </c>
      <c r="AF56" s="51">
        <v>1988</v>
      </c>
      <c r="AG56" s="51">
        <v>1989</v>
      </c>
      <c r="AH56" s="51">
        <v>1990</v>
      </c>
      <c r="AI56" s="51">
        <v>1991</v>
      </c>
      <c r="AJ56" s="51">
        <v>1992</v>
      </c>
      <c r="AK56" s="51">
        <v>1993</v>
      </c>
      <c r="AL56" s="51">
        <v>1994</v>
      </c>
      <c r="AM56" s="51">
        <v>1995</v>
      </c>
      <c r="AN56" s="51">
        <v>1996</v>
      </c>
      <c r="AO56" s="51">
        <v>1997</v>
      </c>
      <c r="AP56" s="51">
        <v>1998</v>
      </c>
      <c r="AQ56" s="51">
        <v>1999</v>
      </c>
      <c r="AR56" s="51">
        <v>2000</v>
      </c>
      <c r="AS56" s="51">
        <v>2001</v>
      </c>
      <c r="AT56" s="51">
        <v>2002</v>
      </c>
      <c r="AU56" s="51">
        <v>2003</v>
      </c>
      <c r="AV56" s="51">
        <v>2004</v>
      </c>
      <c r="AW56" s="51">
        <v>2005</v>
      </c>
      <c r="AX56" s="51">
        <v>2006</v>
      </c>
      <c r="AY56" s="51">
        <v>2007</v>
      </c>
      <c r="AZ56" s="51">
        <v>2008</v>
      </c>
      <c r="BA56" s="51">
        <v>2009</v>
      </c>
      <c r="BB56" s="51">
        <v>2010</v>
      </c>
      <c r="BC56" s="51">
        <v>2011</v>
      </c>
      <c r="BD56" s="51">
        <v>2012</v>
      </c>
      <c r="BE56" s="51">
        <v>2013</v>
      </c>
      <c r="BF56" s="51">
        <v>2014</v>
      </c>
      <c r="BG56" s="51">
        <v>2015</v>
      </c>
      <c r="BH56" s="51">
        <v>2016</v>
      </c>
      <c r="BI56" s="51">
        <v>2017</v>
      </c>
      <c r="BJ56" s="51">
        <v>2018</v>
      </c>
      <c r="BK56" s="65">
        <v>2019</v>
      </c>
      <c r="BL56" s="51">
        <v>2020</v>
      </c>
    </row>
    <row r="57" spans="1:64" s="38" customFormat="1">
      <c r="A57" s="38">
        <v>0.19</v>
      </c>
      <c r="B57" s="279" t="str">
        <f>B68</f>
        <v>LDVs gasonline - lower bound</v>
      </c>
      <c r="C57" t="s">
        <v>576</v>
      </c>
      <c r="D57" s="280">
        <f>$D$63/D68</f>
        <v>13.452380952380953</v>
      </c>
      <c r="E57" s="280">
        <f t="shared" ref="E57:BL60" si="23">$D$63/E68</f>
        <v>13.575204228736185</v>
      </c>
      <c r="F57" s="280">
        <f t="shared" si="23"/>
        <v>13.700290979631427</v>
      </c>
      <c r="G57" s="280">
        <f t="shared" si="23"/>
        <v>13.827704356338721</v>
      </c>
      <c r="H57" s="280">
        <f t="shared" si="23"/>
        <v>13.957509881422929</v>
      </c>
      <c r="I57" s="280">
        <f t="shared" si="23"/>
        <v>14.089775561097261</v>
      </c>
      <c r="J57" s="280">
        <f t="shared" si="23"/>
        <v>14.224572004028204</v>
      </c>
      <c r="K57" s="280">
        <f t="shared" si="23"/>
        <v>14.361972547025934</v>
      </c>
      <c r="L57" s="280">
        <f t="shared" si="23"/>
        <v>14.502053388090356</v>
      </c>
      <c r="M57" s="280">
        <f t="shared" si="23"/>
        <v>14.644893727319863</v>
      </c>
      <c r="N57" s="280">
        <f t="shared" si="23"/>
        <v>14.790575916230376</v>
      </c>
      <c r="O57" s="280">
        <f t="shared" si="23"/>
        <v>14.939185616076161</v>
      </c>
      <c r="P57" s="280">
        <f t="shared" si="23"/>
        <v>15.090811965811978</v>
      </c>
      <c r="Q57" s="280">
        <f t="shared" si="23"/>
        <v>15.245547760388574</v>
      </c>
      <c r="R57" s="280">
        <f t="shared" si="23"/>
        <v>15.403489640130877</v>
      </c>
      <c r="S57" s="280">
        <f t="shared" si="23"/>
        <v>15.564738292011036</v>
      </c>
      <c r="T57" s="280">
        <f t="shared" si="23"/>
        <v>15.729398663697122</v>
      </c>
      <c r="U57" s="280">
        <f t="shared" si="23"/>
        <v>15.897580191333727</v>
      </c>
      <c r="V57" s="280">
        <f t="shared" si="23"/>
        <v>16.069397042093311</v>
      </c>
      <c r="W57" s="280">
        <f t="shared" si="23"/>
        <v>16.244968372627969</v>
      </c>
      <c r="X57" s="280">
        <f t="shared" si="23"/>
        <v>16.424418604651187</v>
      </c>
      <c r="Y57" s="280">
        <f t="shared" si="23"/>
        <v>16.607877718988856</v>
      </c>
      <c r="Z57" s="280">
        <f t="shared" si="23"/>
        <v>16.795481569560074</v>
      </c>
      <c r="AA57" s="280">
        <f t="shared" si="23"/>
        <v>16.987372218881568</v>
      </c>
      <c r="AB57" s="280">
        <f t="shared" si="23"/>
        <v>17.183698296837015</v>
      </c>
      <c r="AC57" s="280">
        <f t="shared" si="23"/>
        <v>17.384615384615419</v>
      </c>
      <c r="AD57" s="280">
        <f t="shared" si="23"/>
        <v>17.590286425902899</v>
      </c>
      <c r="AE57" s="280">
        <f t="shared" si="23"/>
        <v>17.800882167611881</v>
      </c>
      <c r="AF57" s="280">
        <f t="shared" si="23"/>
        <v>18.016581632653097</v>
      </c>
      <c r="AG57" s="280">
        <f t="shared" si="23"/>
        <v>18.237572627501653</v>
      </c>
      <c r="AH57" s="280">
        <f t="shared" si="23"/>
        <v>18.464052287581737</v>
      </c>
      <c r="AI57" s="280">
        <f t="shared" si="23"/>
        <v>18.696227663798847</v>
      </c>
      <c r="AJ57" s="280">
        <f t="shared" si="23"/>
        <v>18.934316353887439</v>
      </c>
      <c r="AK57" s="280">
        <f t="shared" si="23"/>
        <v>19.178547182620541</v>
      </c>
      <c r="AL57" s="280">
        <f t="shared" si="23"/>
        <v>19.429160935350797</v>
      </c>
      <c r="AM57" s="280">
        <f t="shared" si="23"/>
        <v>19.686411149825823</v>
      </c>
      <c r="AN57" s="280">
        <f t="shared" si="23"/>
        <v>19.950564971751451</v>
      </c>
      <c r="AO57" s="280">
        <f t="shared" si="23"/>
        <v>20.221904080171836</v>
      </c>
      <c r="AP57" s="280">
        <f t="shared" si="23"/>
        <v>20.500725689404977</v>
      </c>
      <c r="AQ57" s="280">
        <f t="shared" si="23"/>
        <v>20.787343635025795</v>
      </c>
      <c r="AR57" s="280">
        <f t="shared" si="23"/>
        <v>21.082089552238848</v>
      </c>
      <c r="AS57" s="280">
        <f t="shared" si="23"/>
        <v>21.38531415594251</v>
      </c>
      <c r="AT57" s="280">
        <f t="shared" si="23"/>
        <v>21.697388632872546</v>
      </c>
      <c r="AU57" s="280">
        <f t="shared" si="23"/>
        <v>22.018706157443535</v>
      </c>
      <c r="AV57" s="280">
        <f t="shared" si="23"/>
        <v>22.34968354430384</v>
      </c>
      <c r="AW57" s="280">
        <f t="shared" si="23"/>
        <v>22.690763052208879</v>
      </c>
      <c r="AX57" s="280">
        <f t="shared" si="23"/>
        <v>23.042414355628104</v>
      </c>
      <c r="AY57" s="280">
        <f t="shared" si="23"/>
        <v>23.405136702568395</v>
      </c>
      <c r="AZ57" s="280">
        <f t="shared" si="23"/>
        <v>23.779461279461323</v>
      </c>
      <c r="BA57" s="280">
        <f t="shared" si="23"/>
        <v>24.165953806672416</v>
      </c>
      <c r="BB57" s="280">
        <f t="shared" si="23"/>
        <v>24.565217391304394</v>
      </c>
      <c r="BC57" s="280">
        <f t="shared" si="23"/>
        <v>24.977895667550886</v>
      </c>
      <c r="BD57" s="280">
        <f t="shared" si="23"/>
        <v>25.404676258992851</v>
      </c>
      <c r="BE57" s="280">
        <f t="shared" si="23"/>
        <v>25.846294602012854</v>
      </c>
      <c r="BF57" s="280">
        <f t="shared" si="23"/>
        <v>26.303538175046601</v>
      </c>
      <c r="BG57" s="280">
        <f t="shared" si="23"/>
        <v>26.777251184834171</v>
      </c>
      <c r="BH57" s="280">
        <f t="shared" si="23"/>
        <v>27.268339768339818</v>
      </c>
      <c r="BI57" s="280">
        <f t="shared" si="23"/>
        <v>27.777777777777825</v>
      </c>
      <c r="BJ57" s="280">
        <f t="shared" si="23"/>
        <v>28.306613226452956</v>
      </c>
      <c r="BK57" s="280">
        <f t="shared" si="23"/>
        <v>28.855975485189017</v>
      </c>
      <c r="BL57" s="280">
        <f t="shared" si="23"/>
        <v>29.427083333333382</v>
      </c>
    </row>
    <row r="58" spans="1:64" s="38" customFormat="1">
      <c r="B58" s="279" t="str">
        <f t="shared" ref="B58:B59" si="24">B69</f>
        <v>LDVs gasoline - middle bound</v>
      </c>
      <c r="C58" t="s">
        <v>576</v>
      </c>
      <c r="D58" s="280">
        <f t="shared" ref="D58:S60" si="25">$D$63/D69</f>
        <v>17.823343848580443</v>
      </c>
      <c r="E58" s="280">
        <f t="shared" si="25"/>
        <v>17.970737913486005</v>
      </c>
      <c r="F58" s="280">
        <f t="shared" si="25"/>
        <v>18.120590121872997</v>
      </c>
      <c r="G58" s="280">
        <f t="shared" si="25"/>
        <v>18.272962483829239</v>
      </c>
      <c r="H58" s="280">
        <f t="shared" si="25"/>
        <v>18.427919112850624</v>
      </c>
      <c r="I58" s="280">
        <f t="shared" si="25"/>
        <v>18.58552631578948</v>
      </c>
      <c r="J58" s="280">
        <f t="shared" si="25"/>
        <v>18.745852687458534</v>
      </c>
      <c r="K58" s="280">
        <f t="shared" si="25"/>
        <v>18.908969210174035</v>
      </c>
      <c r="L58" s="280">
        <f t="shared" si="25"/>
        <v>19.074949358541534</v>
      </c>
      <c r="M58" s="280">
        <f t="shared" si="25"/>
        <v>19.243869209809272</v>
      </c>
      <c r="N58" s="280">
        <f t="shared" si="25"/>
        <v>19.415807560137466</v>
      </c>
      <c r="O58" s="280">
        <f t="shared" si="25"/>
        <v>19.590846047156738</v>
      </c>
      <c r="P58" s="280">
        <f t="shared" si="25"/>
        <v>19.76906927921625</v>
      </c>
      <c r="Q58" s="280">
        <f t="shared" si="25"/>
        <v>19.950564971751426</v>
      </c>
      <c r="R58" s="280">
        <f t="shared" si="25"/>
        <v>20.135424091233087</v>
      </c>
      <c r="S58" s="280">
        <f t="shared" si="25"/>
        <v>20.323741007194261</v>
      </c>
      <c r="T58" s="280">
        <f t="shared" si="23"/>
        <v>20.515613652868574</v>
      </c>
      <c r="U58" s="280">
        <f t="shared" si="23"/>
        <v>20.711143695014684</v>
      </c>
      <c r="V58" s="280">
        <f t="shared" si="23"/>
        <v>20.910436713545543</v>
      </c>
      <c r="W58" s="280">
        <f t="shared" si="23"/>
        <v>21.113602391629321</v>
      </c>
      <c r="X58" s="280">
        <f t="shared" si="23"/>
        <v>21.320754716981156</v>
      </c>
      <c r="Y58" s="280">
        <f t="shared" si="23"/>
        <v>21.532012195121979</v>
      </c>
      <c r="Z58" s="280">
        <f t="shared" si="23"/>
        <v>21.747498075442678</v>
      </c>
      <c r="AA58" s="280">
        <f t="shared" si="23"/>
        <v>21.967340590979813</v>
      </c>
      <c r="AB58" s="280">
        <f t="shared" si="23"/>
        <v>22.191673212882986</v>
      </c>
      <c r="AC58" s="280">
        <f t="shared" si="23"/>
        <v>22.420634920634956</v>
      </c>
      <c r="AD58" s="280">
        <f t="shared" si="23"/>
        <v>22.654370489174056</v>
      </c>
      <c r="AE58" s="280">
        <f t="shared" si="23"/>
        <v>22.893030794165355</v>
      </c>
      <c r="AF58" s="280">
        <f t="shared" si="23"/>
        <v>23.136773136773176</v>
      </c>
      <c r="AG58" s="280">
        <f t="shared" si="23"/>
        <v>23.385761589404012</v>
      </c>
      <c r="AH58" s="280">
        <f t="shared" si="23"/>
        <v>23.640167364016776</v>
      </c>
      <c r="AI58" s="280">
        <f t="shared" si="23"/>
        <v>23.900169204737775</v>
      </c>
      <c r="AJ58" s="280">
        <f t="shared" si="23"/>
        <v>24.165953806672412</v>
      </c>
      <c r="AK58" s="280">
        <f t="shared" si="23"/>
        <v>24.437716262975819</v>
      </c>
      <c r="AL58" s="280">
        <f t="shared" si="23"/>
        <v>24.715660542432239</v>
      </c>
      <c r="AM58" s="280">
        <f t="shared" si="23"/>
        <v>25.000000000000046</v>
      </c>
      <c r="AN58" s="280">
        <f t="shared" si="23"/>
        <v>25.290957923008101</v>
      </c>
      <c r="AO58" s="280">
        <f t="shared" si="23"/>
        <v>25.588768115942074</v>
      </c>
      <c r="AP58" s="280">
        <f t="shared" si="23"/>
        <v>25.893675527039459</v>
      </c>
      <c r="AQ58" s="280">
        <f t="shared" si="23"/>
        <v>26.205936920222683</v>
      </c>
      <c r="AR58" s="280">
        <f t="shared" si="23"/>
        <v>26.525821596244178</v>
      </c>
      <c r="AS58" s="280">
        <f t="shared" si="23"/>
        <v>26.853612167300426</v>
      </c>
      <c r="AT58" s="280">
        <f t="shared" si="23"/>
        <v>27.189605389797933</v>
      </c>
      <c r="AU58" s="280">
        <f t="shared" si="23"/>
        <v>27.534113060428904</v>
      </c>
      <c r="AV58" s="280">
        <f t="shared" si="23"/>
        <v>27.887462981243882</v>
      </c>
      <c r="AW58" s="280">
        <f t="shared" si="23"/>
        <v>28.25000000000005</v>
      </c>
      <c r="AX58" s="280">
        <f t="shared" si="23"/>
        <v>28.622087132725483</v>
      </c>
      <c r="AY58" s="280">
        <f t="shared" si="23"/>
        <v>29.004106776180755</v>
      </c>
      <c r="AZ58" s="280">
        <f t="shared" si="23"/>
        <v>29.396462018730546</v>
      </c>
      <c r="BA58" s="280">
        <f t="shared" si="23"/>
        <v>29.799578059071784</v>
      </c>
      <c r="BB58" s="280">
        <f t="shared" si="23"/>
        <v>30.213903743315566</v>
      </c>
      <c r="BC58" s="280">
        <f t="shared" si="23"/>
        <v>30.639913232104185</v>
      </c>
      <c r="BD58" s="280">
        <f t="shared" si="23"/>
        <v>31.078107810781141</v>
      </c>
      <c r="BE58" s="280">
        <f t="shared" si="23"/>
        <v>31.529017857142918</v>
      </c>
      <c r="BF58" s="280">
        <f t="shared" si="23"/>
        <v>31.993204983012522</v>
      </c>
      <c r="BG58" s="280">
        <f t="shared" si="23"/>
        <v>32.471264367816161</v>
      </c>
      <c r="BH58" s="280">
        <f t="shared" si="23"/>
        <v>32.963827304550826</v>
      </c>
      <c r="BI58" s="280">
        <f t="shared" si="23"/>
        <v>33.471563981042721</v>
      </c>
      <c r="BJ58" s="280">
        <f t="shared" si="23"/>
        <v>33.995186522262408</v>
      </c>
      <c r="BK58" s="280">
        <f t="shared" si="23"/>
        <v>34.535452322738465</v>
      </c>
      <c r="BL58" s="280">
        <f t="shared" si="23"/>
        <v>35.093167701863429</v>
      </c>
    </row>
    <row r="59" spans="1:64" s="38" customFormat="1">
      <c r="A59" s="38">
        <v>7.0000000000000007E-2</v>
      </c>
      <c r="B59" s="279" t="str">
        <f t="shared" si="24"/>
        <v>LDVs gasoline - upper bound</v>
      </c>
      <c r="C59" t="s">
        <v>576</v>
      </c>
      <c r="D59" s="280">
        <f t="shared" si="25"/>
        <v>26.401869158878508</v>
      </c>
      <c r="E59" s="280">
        <f t="shared" si="23"/>
        <v>26.575729068673567</v>
      </c>
      <c r="F59" s="280">
        <f t="shared" si="23"/>
        <v>26.751893939393941</v>
      </c>
      <c r="G59" s="280">
        <f t="shared" si="23"/>
        <v>26.930409914204009</v>
      </c>
      <c r="H59" s="280">
        <f t="shared" si="23"/>
        <v>27.111324376199622</v>
      </c>
      <c r="I59" s="280">
        <f t="shared" si="23"/>
        <v>27.29468599033817</v>
      </c>
      <c r="J59" s="280">
        <f t="shared" si="23"/>
        <v>27.480544747081719</v>
      </c>
      <c r="K59" s="280">
        <f t="shared" si="23"/>
        <v>27.668952007835461</v>
      </c>
      <c r="L59" s="280">
        <f t="shared" si="23"/>
        <v>27.859960552268252</v>
      </c>
      <c r="M59" s="280">
        <f t="shared" si="23"/>
        <v>28.053624627606762</v>
      </c>
      <c r="N59" s="280">
        <f t="shared" si="23"/>
        <v>28.250000000000011</v>
      </c>
      <c r="O59" s="280">
        <f t="shared" si="23"/>
        <v>28.449144008056408</v>
      </c>
      <c r="P59" s="280">
        <f t="shared" si="23"/>
        <v>28.651115618661269</v>
      </c>
      <c r="Q59" s="280">
        <f t="shared" si="23"/>
        <v>28.855975485188981</v>
      </c>
      <c r="R59" s="280">
        <f t="shared" si="23"/>
        <v>29.063786008230466</v>
      </c>
      <c r="S59" s="280">
        <f t="shared" si="23"/>
        <v>29.274611398963746</v>
      </c>
      <c r="T59" s="280">
        <f t="shared" si="23"/>
        <v>29.48851774530273</v>
      </c>
      <c r="U59" s="280">
        <f t="shared" si="23"/>
        <v>29.705573080967419</v>
      </c>
      <c r="V59" s="280">
        <f t="shared" si="23"/>
        <v>29.925847457627135</v>
      </c>
      <c r="W59" s="280">
        <f t="shared" si="23"/>
        <v>30.1494130202775</v>
      </c>
      <c r="X59" s="280">
        <f t="shared" si="23"/>
        <v>30.376344086021525</v>
      </c>
      <c r="Y59" s="280">
        <f t="shared" si="23"/>
        <v>30.60671722643556</v>
      </c>
      <c r="Z59" s="280">
        <f t="shared" si="23"/>
        <v>30.840611353711815</v>
      </c>
      <c r="AA59" s="280">
        <f t="shared" si="23"/>
        <v>31.078107810781102</v>
      </c>
      <c r="AB59" s="280">
        <f t="shared" si="23"/>
        <v>31.319290465631955</v>
      </c>
      <c r="AC59" s="280">
        <f t="shared" si="23"/>
        <v>31.564245810055894</v>
      </c>
      <c r="AD59" s="280">
        <f t="shared" si="23"/>
        <v>31.81306306306309</v>
      </c>
      <c r="AE59" s="280">
        <f t="shared" si="23"/>
        <v>32.065834279228177</v>
      </c>
      <c r="AF59" s="280">
        <f t="shared" si="23"/>
        <v>32.322654462242596</v>
      </c>
      <c r="AG59" s="280">
        <f t="shared" si="23"/>
        <v>32.583621683967735</v>
      </c>
      <c r="AH59" s="280">
        <f t="shared" si="23"/>
        <v>32.84883720930236</v>
      </c>
      <c r="AI59" s="280">
        <f t="shared" si="23"/>
        <v>33.118405627198165</v>
      </c>
      <c r="AJ59" s="280">
        <f t="shared" si="23"/>
        <v>33.392434988179708</v>
      </c>
      <c r="AK59" s="280">
        <f t="shared" si="23"/>
        <v>33.671036948748551</v>
      </c>
      <c r="AL59" s="280">
        <f t="shared" si="23"/>
        <v>33.954326923076962</v>
      </c>
      <c r="AM59" s="280">
        <f t="shared" si="23"/>
        <v>34.242424242424285</v>
      </c>
      <c r="AN59" s="280">
        <f t="shared" si="23"/>
        <v>34.535452322738429</v>
      </c>
      <c r="AO59" s="280">
        <f t="shared" si="23"/>
        <v>34.833538840937166</v>
      </c>
      <c r="AP59" s="280">
        <f t="shared" si="23"/>
        <v>35.136815920398057</v>
      </c>
      <c r="AQ59" s="280">
        <f t="shared" si="23"/>
        <v>35.445420326223392</v>
      </c>
      <c r="AR59" s="280">
        <f t="shared" si="23"/>
        <v>35.75949367088613</v>
      </c>
      <c r="AS59" s="280">
        <f t="shared" si="23"/>
        <v>36.079182630906828</v>
      </c>
      <c r="AT59" s="280">
        <f t="shared" si="23"/>
        <v>36.404639175257792</v>
      </c>
      <c r="AU59" s="280">
        <f t="shared" si="23"/>
        <v>36.736020806241932</v>
      </c>
      <c r="AV59" s="280">
        <f t="shared" si="23"/>
        <v>37.073490813648355</v>
      </c>
      <c r="AW59" s="280">
        <f t="shared" si="23"/>
        <v>37.417218543046424</v>
      </c>
      <c r="AX59" s="280">
        <f t="shared" si="23"/>
        <v>37.767379679144454</v>
      </c>
      <c r="AY59" s="280">
        <f t="shared" si="23"/>
        <v>38.124156545209246</v>
      </c>
      <c r="AZ59" s="280">
        <f t="shared" si="23"/>
        <v>38.487738419618601</v>
      </c>
      <c r="BA59" s="280">
        <f t="shared" si="23"/>
        <v>38.858321870701594</v>
      </c>
      <c r="BB59" s="280">
        <f t="shared" si="23"/>
        <v>39.236111111111192</v>
      </c>
      <c r="BC59" s="280">
        <f t="shared" si="23"/>
        <v>39.621318373071617</v>
      </c>
      <c r="BD59" s="280">
        <f t="shared" si="23"/>
        <v>40.014164305949095</v>
      </c>
      <c r="BE59" s="280">
        <f t="shared" si="23"/>
        <v>40.414878397711107</v>
      </c>
      <c r="BF59" s="280">
        <f t="shared" si="23"/>
        <v>40.823699421965415</v>
      </c>
      <c r="BG59" s="280">
        <f t="shared" si="23"/>
        <v>41.24087591240886</v>
      </c>
      <c r="BH59" s="280">
        <f t="shared" si="23"/>
        <v>41.666666666666771</v>
      </c>
      <c r="BI59" s="280">
        <f t="shared" si="23"/>
        <v>42.101341281669256</v>
      </c>
      <c r="BJ59" s="280">
        <f t="shared" si="23"/>
        <v>42.545180722891679</v>
      </c>
      <c r="BK59" s="280">
        <f t="shared" si="23"/>
        <v>42.998477929984894</v>
      </c>
      <c r="BL59" s="280">
        <f t="shared" si="23"/>
        <v>43.461538461538581</v>
      </c>
    </row>
    <row r="60" spans="1:64" s="38" customFormat="1">
      <c r="A60" t="s">
        <v>77</v>
      </c>
      <c r="B60" t="s">
        <v>574</v>
      </c>
      <c r="C60" t="s">
        <v>576</v>
      </c>
      <c r="D60" s="280">
        <f t="shared" si="25"/>
        <v>24.793435221910368</v>
      </c>
      <c r="E60" s="280">
        <f t="shared" si="23"/>
        <v>25.926864471402489</v>
      </c>
      <c r="F60" s="280">
        <f t="shared" si="23"/>
        <v>26.264094536091751</v>
      </c>
      <c r="G60" s="280">
        <f t="shared" si="23"/>
        <v>26.78403281190451</v>
      </c>
      <c r="H60" s="280">
        <f t="shared" si="23"/>
        <v>27.354524180962613</v>
      </c>
      <c r="I60" s="280">
        <f t="shared" si="23"/>
        <v>27.701389513036165</v>
      </c>
      <c r="J60" s="280">
        <f t="shared" si="23"/>
        <v>28.227578785581848</v>
      </c>
      <c r="K60" s="280">
        <f t="shared" si="23"/>
        <v>27.830421297452169</v>
      </c>
      <c r="L60" s="280">
        <f t="shared" si="23"/>
        <v>27.524185200273728</v>
      </c>
      <c r="M60" s="280">
        <f t="shared" si="23"/>
        <v>27.489309516286795</v>
      </c>
      <c r="N60" s="280">
        <f t="shared" si="23"/>
        <v>29.040647875728002</v>
      </c>
      <c r="O60" s="280">
        <f t="shared" si="23"/>
        <v>29.298807944247329</v>
      </c>
      <c r="P60" s="280">
        <f t="shared" si="23"/>
        <v>29.070605437882591</v>
      </c>
      <c r="Q60" s="280">
        <f t="shared" si="23"/>
        <v>28.699461718766131</v>
      </c>
      <c r="R60" s="280">
        <f t="shared" si="23"/>
        <v>28.958902718015818</v>
      </c>
      <c r="S60" s="280">
        <f t="shared" si="23"/>
        <v>29.878254255256053</v>
      </c>
      <c r="T60" s="280">
        <f t="shared" si="23"/>
        <v>29.968290775098279</v>
      </c>
      <c r="U60" s="280">
        <f t="shared" si="23"/>
        <v>29.66300516850044</v>
      </c>
      <c r="V60" s="280">
        <f t="shared" si="23"/>
        <v>29.169692356579869</v>
      </c>
      <c r="W60" s="280">
        <f t="shared" si="23"/>
        <v>28.511474363048293</v>
      </c>
      <c r="X60" s="280">
        <f t="shared" si="23"/>
        <v>29.649387736937907</v>
      </c>
      <c r="Y60" s="280">
        <f t="shared" si="23"/>
        <v>30.97203458269464</v>
      </c>
      <c r="Z60" s="280">
        <f t="shared" si="23"/>
        <v>31.017650790501644</v>
      </c>
      <c r="AA60" s="280">
        <f t="shared" si="23"/>
        <v>30.893351245901204</v>
      </c>
      <c r="AB60" s="280">
        <f t="shared" si="23"/>
        <v>31.436082013121855</v>
      </c>
      <c r="AC60" s="280">
        <f t="shared" si="23"/>
        <v>31.917584444317541</v>
      </c>
      <c r="AD60" s="280">
        <f t="shared" si="23"/>
        <v>31.846697091380555</v>
      </c>
      <c r="AE60" s="280">
        <f t="shared" si="23"/>
        <v>32.955511782221826</v>
      </c>
      <c r="AF60" s="280">
        <f t="shared" si="23"/>
        <v>33.538802054191194</v>
      </c>
      <c r="AG60" s="280">
        <f t="shared" si="23"/>
        <v>34.768426387036001</v>
      </c>
      <c r="AH60" s="280">
        <f t="shared" si="23"/>
        <v>33.802131546861673</v>
      </c>
      <c r="AI60" s="280">
        <f t="shared" si="23"/>
        <v>33.851138271771923</v>
      </c>
      <c r="AJ60" s="280">
        <f t="shared" si="23"/>
        <v>33.370720795970492</v>
      </c>
      <c r="AK60" s="280">
        <f t="shared" si="23"/>
        <v>32.968231037626275</v>
      </c>
      <c r="AL60" s="280">
        <f t="shared" si="23"/>
        <v>33.808568243435246</v>
      </c>
      <c r="AM60" s="280">
        <f t="shared" si="23"/>
        <v>34.805798253455691</v>
      </c>
      <c r="AN60" s="280">
        <f t="shared" si="23"/>
        <v>34.237566448836063</v>
      </c>
      <c r="AO60" s="280">
        <f t="shared" si="23"/>
        <v>34.453101592058786</v>
      </c>
      <c r="AP60" s="280">
        <f t="shared" si="23"/>
        <v>35.231366224952218</v>
      </c>
      <c r="AQ60" s="280">
        <f t="shared" si="23"/>
        <v>35.265873784161748</v>
      </c>
      <c r="AR60" s="280">
        <f t="shared" si="23"/>
        <v>35.282629212780144</v>
      </c>
      <c r="AS60" s="280">
        <f t="shared" si="23"/>
        <v>35.782777004257824</v>
      </c>
      <c r="AT60" s="280">
        <f t="shared" si="23"/>
        <v>35.878701382593896</v>
      </c>
      <c r="AU60" s="280">
        <f t="shared" si="23"/>
        <v>36.30438713941696</v>
      </c>
      <c r="AV60" s="280">
        <f t="shared" si="23"/>
        <v>36.414637144292328</v>
      </c>
      <c r="AW60" s="280">
        <f t="shared" si="23"/>
        <v>36.149349630588162</v>
      </c>
      <c r="AX60" s="280">
        <f t="shared" si="23"/>
        <v>36.642896069057024</v>
      </c>
      <c r="AY60" s="280">
        <f t="shared" si="23"/>
        <v>36.471198983450158</v>
      </c>
      <c r="AZ60" s="280">
        <f t="shared" si="23"/>
        <v>37.125926193976007</v>
      </c>
      <c r="BA60" s="280">
        <f t="shared" si="23"/>
        <v>38.07108467819176</v>
      </c>
      <c r="BB60" s="280">
        <f t="shared" si="23"/>
        <v>38.676997315135814</v>
      </c>
      <c r="BC60" s="280">
        <f t="shared" si="23"/>
        <v>39.349173561508245</v>
      </c>
      <c r="BD60" s="280">
        <f t="shared" si="23"/>
        <v>39.561176862752063</v>
      </c>
      <c r="BE60" s="280">
        <f t="shared" si="23"/>
        <v>40.321145462016275</v>
      </c>
      <c r="BF60" s="280">
        <f t="shared" si="23"/>
        <v>41.231357066925526</v>
      </c>
      <c r="BG60" s="280">
        <f t="shared" si="23"/>
        <v>41.57600411516578</v>
      </c>
      <c r="BH60" s="280">
        <f t="shared" si="23"/>
        <v>41.859292279406766</v>
      </c>
      <c r="BI60" s="280">
        <f t="shared" si="23"/>
        <v>42.701410888367185</v>
      </c>
      <c r="BJ60" s="280">
        <f t="shared" si="23"/>
        <v>44.008128673737936</v>
      </c>
      <c r="BK60" s="284">
        <f t="shared" si="23"/>
        <v>44.827946080818499</v>
      </c>
      <c r="BL60" s="284">
        <f t="shared" si="23"/>
        <v>45.67888767688634</v>
      </c>
    </row>
    <row r="61" spans="1:64">
      <c r="A61" t="s">
        <v>223</v>
      </c>
      <c r="B61" t="s">
        <v>575</v>
      </c>
      <c r="C61" t="s">
        <v>576</v>
      </c>
      <c r="D61" s="284">
        <f>$D$63/D72</f>
        <v>13.992469610903816</v>
      </c>
      <c r="E61" s="284">
        <f t="shared" ref="E61:BL61" si="26">$D$63/E72</f>
        <v>14.004234031199411</v>
      </c>
      <c r="F61" s="284">
        <f t="shared" si="26"/>
        <v>14.016018250436904</v>
      </c>
      <c r="G61" s="284">
        <f t="shared" si="26"/>
        <v>14.027822318639362</v>
      </c>
      <c r="H61" s="284">
        <f t="shared" si="26"/>
        <v>14.039646285998504</v>
      </c>
      <c r="I61" s="284">
        <f t="shared" si="26"/>
        <v>14.051490202875421</v>
      </c>
      <c r="J61" s="280">
        <f t="shared" si="26"/>
        <v>14.06335411980128</v>
      </c>
      <c r="K61" s="280">
        <f t="shared" si="26"/>
        <v>14.1929833430311</v>
      </c>
      <c r="L61" s="280">
        <f t="shared" si="26"/>
        <v>14.060438087452303</v>
      </c>
      <c r="M61" s="280">
        <f t="shared" si="26"/>
        <v>13.910039321481557</v>
      </c>
      <c r="N61" s="280">
        <f t="shared" si="26"/>
        <v>13.984555893644961</v>
      </c>
      <c r="O61" s="280">
        <f t="shared" si="26"/>
        <v>14.122975485752436</v>
      </c>
      <c r="P61" s="280">
        <f t="shared" si="26"/>
        <v>14.120713191335845</v>
      </c>
      <c r="Q61" s="280">
        <f t="shared" si="26"/>
        <v>14.158196647388085</v>
      </c>
      <c r="R61" s="280">
        <f t="shared" si="26"/>
        <v>14.572353050871394</v>
      </c>
      <c r="S61" s="280">
        <f t="shared" si="26"/>
        <v>14.374815977110037</v>
      </c>
      <c r="T61" s="280">
        <f t="shared" si="26"/>
        <v>14.535077618027787</v>
      </c>
      <c r="U61" s="280">
        <f t="shared" si="26"/>
        <v>14.891896048097413</v>
      </c>
      <c r="V61" s="280">
        <f t="shared" si="26"/>
        <v>15.240360781478426</v>
      </c>
      <c r="W61" s="280">
        <f t="shared" si="26"/>
        <v>15.644117530013508</v>
      </c>
      <c r="X61" s="280">
        <f t="shared" si="26"/>
        <v>16.45540655963968</v>
      </c>
      <c r="Y61" s="280">
        <f t="shared" si="26"/>
        <v>16.919756151054663</v>
      </c>
      <c r="Z61" s="280">
        <f t="shared" si="26"/>
        <v>17.896009691739902</v>
      </c>
      <c r="AA61" s="280">
        <f t="shared" si="26"/>
        <v>18.107780569695716</v>
      </c>
      <c r="AB61" s="280">
        <f t="shared" si="26"/>
        <v>18.462570311558196</v>
      </c>
      <c r="AC61" s="280">
        <f t="shared" si="26"/>
        <v>18.798540551908385</v>
      </c>
      <c r="AD61" s="280">
        <f t="shared" si="26"/>
        <v>18.96522600092014</v>
      </c>
      <c r="AE61" s="280">
        <f t="shared" si="26"/>
        <v>19.502945655789048</v>
      </c>
      <c r="AF61" s="280">
        <f t="shared" si="26"/>
        <v>20.177508583588693</v>
      </c>
      <c r="AG61" s="280">
        <f t="shared" si="26"/>
        <v>20.86086652162297</v>
      </c>
      <c r="AH61" s="280">
        <f t="shared" si="26"/>
        <v>21.391335425114189</v>
      </c>
      <c r="AI61" s="280">
        <f t="shared" si="26"/>
        <v>22.424486631281837</v>
      </c>
      <c r="AJ61" s="280">
        <f t="shared" si="26"/>
        <v>22.61714565131803</v>
      </c>
      <c r="AK61" s="280">
        <f t="shared" si="26"/>
        <v>22.485699927346776</v>
      </c>
      <c r="AL61" s="280">
        <f t="shared" si="26"/>
        <v>22.566124144660471</v>
      </c>
      <c r="AM61" s="280">
        <f t="shared" si="26"/>
        <v>22.785245267318441</v>
      </c>
      <c r="AN61" s="280">
        <f t="shared" si="26"/>
        <v>22.799883289102361</v>
      </c>
      <c r="AO61" s="280">
        <f t="shared" si="26"/>
        <v>22.914355812422222</v>
      </c>
      <c r="AP61" s="280">
        <f t="shared" si="26"/>
        <v>22.971277436949581</v>
      </c>
      <c r="AQ61" s="280">
        <f t="shared" si="26"/>
        <v>22.799475514359152</v>
      </c>
      <c r="AR61" s="280">
        <f t="shared" si="26"/>
        <v>23.35689180292697</v>
      </c>
      <c r="AS61" s="280">
        <f t="shared" si="26"/>
        <v>23.645938843038142</v>
      </c>
      <c r="AT61" s="280">
        <f t="shared" si="26"/>
        <v>23.488378334134982</v>
      </c>
      <c r="AU61" s="280">
        <f t="shared" si="26"/>
        <v>22.632676230931605</v>
      </c>
      <c r="AV61" s="280">
        <f t="shared" si="26"/>
        <v>22.845676837063635</v>
      </c>
      <c r="AW61" s="280">
        <f t="shared" si="26"/>
        <v>23.767023378718964</v>
      </c>
      <c r="AX61" s="280">
        <f t="shared" si="26"/>
        <v>24.108173161317644</v>
      </c>
      <c r="AY61" s="280">
        <f t="shared" si="26"/>
        <v>22.931208452060968</v>
      </c>
      <c r="AZ61" s="280">
        <f t="shared" si="26"/>
        <v>23.33196746595981</v>
      </c>
      <c r="BA61" s="280">
        <f t="shared" si="26"/>
        <v>23.261357418465124</v>
      </c>
      <c r="BB61" s="280">
        <f t="shared" si="26"/>
        <v>23.121395077164408</v>
      </c>
      <c r="BC61" s="280">
        <f t="shared" si="26"/>
        <v>23.509952852892795</v>
      </c>
      <c r="BD61" s="280">
        <f t="shared" si="26"/>
        <v>23.599544919566572</v>
      </c>
      <c r="BE61" s="280">
        <f t="shared" si="26"/>
        <v>23.706678417493467</v>
      </c>
      <c r="BF61" s="280">
        <f t="shared" si="26"/>
        <v>23.479851705875337</v>
      </c>
      <c r="BG61" s="280">
        <f t="shared" si="26"/>
        <v>24.0226919752192</v>
      </c>
      <c r="BH61" s="280">
        <f t="shared" si="26"/>
        <v>24.104196343055218</v>
      </c>
      <c r="BI61" s="280">
        <f t="shared" si="26"/>
        <v>24.391635191569062</v>
      </c>
      <c r="BJ61" s="280">
        <f t="shared" si="26"/>
        <v>24.774755172277327</v>
      </c>
      <c r="BK61" s="284">
        <f t="shared" si="26"/>
        <v>25.000024563757076</v>
      </c>
      <c r="BL61" s="284">
        <f t="shared" si="26"/>
        <v>25.229428159854454</v>
      </c>
    </row>
    <row r="62" spans="1:64">
      <c r="D62" s="275">
        <v>1</v>
      </c>
      <c r="E62" s="275" t="s">
        <v>85</v>
      </c>
    </row>
    <row r="63" spans="1:64">
      <c r="D63" s="275">
        <v>282.5</v>
      </c>
      <c r="E63" s="275" t="s">
        <v>86</v>
      </c>
    </row>
    <row r="65" spans="1:64" s="283" customFormat="1"/>
    <row r="67" spans="1:64" s="38" customFormat="1">
      <c r="C67" s="201"/>
      <c r="D67" s="51">
        <v>1960</v>
      </c>
      <c r="E67" s="51">
        <v>1961</v>
      </c>
      <c r="F67" s="51">
        <v>1962</v>
      </c>
      <c r="G67" s="51">
        <v>1963</v>
      </c>
      <c r="H67" s="51">
        <v>1964</v>
      </c>
      <c r="I67" s="51">
        <v>1965</v>
      </c>
      <c r="J67" s="51">
        <v>1966</v>
      </c>
      <c r="K67" s="51">
        <v>1967</v>
      </c>
      <c r="L67" s="51">
        <v>1968</v>
      </c>
      <c r="M67" s="51">
        <v>1969</v>
      </c>
      <c r="N67" s="51">
        <v>1970</v>
      </c>
      <c r="O67" s="51">
        <v>1971</v>
      </c>
      <c r="P67" s="51">
        <v>1972</v>
      </c>
      <c r="Q67" s="51">
        <v>1973</v>
      </c>
      <c r="R67" s="51">
        <v>1974</v>
      </c>
      <c r="S67" s="51">
        <v>1975</v>
      </c>
      <c r="T67" s="51">
        <v>1976</v>
      </c>
      <c r="U67" s="51">
        <v>1977</v>
      </c>
      <c r="V67" s="51">
        <v>1978</v>
      </c>
      <c r="W67" s="51">
        <v>1979</v>
      </c>
      <c r="X67" s="51">
        <v>1980</v>
      </c>
      <c r="Y67" s="51">
        <v>1981</v>
      </c>
      <c r="Z67" s="51">
        <v>1982</v>
      </c>
      <c r="AA67" s="51">
        <v>1983</v>
      </c>
      <c r="AB67" s="51">
        <v>1984</v>
      </c>
      <c r="AC67" s="51">
        <v>1985</v>
      </c>
      <c r="AD67" s="51">
        <v>1986</v>
      </c>
      <c r="AE67" s="51">
        <v>1987</v>
      </c>
      <c r="AF67" s="51">
        <v>1988</v>
      </c>
      <c r="AG67" s="51">
        <v>1989</v>
      </c>
      <c r="AH67" s="51">
        <v>1990</v>
      </c>
      <c r="AI67" s="51">
        <v>1991</v>
      </c>
      <c r="AJ67" s="51">
        <v>1992</v>
      </c>
      <c r="AK67" s="51">
        <v>1993</v>
      </c>
      <c r="AL67" s="51">
        <v>1994</v>
      </c>
      <c r="AM67" s="51">
        <v>1995</v>
      </c>
      <c r="AN67" s="51">
        <v>1996</v>
      </c>
      <c r="AO67" s="51">
        <v>1997</v>
      </c>
      <c r="AP67" s="51">
        <v>1998</v>
      </c>
      <c r="AQ67" s="51">
        <v>1999</v>
      </c>
      <c r="AR67" s="51">
        <v>2000</v>
      </c>
      <c r="AS67" s="51">
        <v>2001</v>
      </c>
      <c r="AT67" s="51">
        <v>2002</v>
      </c>
      <c r="AU67" s="51">
        <v>2003</v>
      </c>
      <c r="AV67" s="51">
        <v>2004</v>
      </c>
      <c r="AW67" s="51">
        <v>2005</v>
      </c>
      <c r="AX67" s="51">
        <v>2006</v>
      </c>
      <c r="AY67" s="51">
        <v>2007</v>
      </c>
      <c r="AZ67" s="51">
        <v>2008</v>
      </c>
      <c r="BA67" s="51">
        <v>2009</v>
      </c>
      <c r="BB67" s="51">
        <v>2010</v>
      </c>
      <c r="BC67" s="51">
        <v>2011</v>
      </c>
      <c r="BD67" s="51">
        <v>2012</v>
      </c>
      <c r="BE67" s="51">
        <v>2013</v>
      </c>
      <c r="BF67" s="51">
        <v>2014</v>
      </c>
      <c r="BG67" s="51">
        <v>2015</v>
      </c>
      <c r="BH67" s="51">
        <v>2016</v>
      </c>
      <c r="BI67" s="51">
        <v>2017</v>
      </c>
      <c r="BJ67" s="51">
        <v>2018</v>
      </c>
      <c r="BK67" s="65">
        <v>2019</v>
      </c>
      <c r="BL67" s="51">
        <v>2020</v>
      </c>
    </row>
    <row r="68" spans="1:64" s="38" customFormat="1">
      <c r="A68" s="38">
        <v>0.19</v>
      </c>
      <c r="B68" s="279" t="s">
        <v>602</v>
      </c>
      <c r="C68" t="s">
        <v>86</v>
      </c>
      <c r="D68" s="280">
        <v>21</v>
      </c>
      <c r="E68" s="204">
        <f>D68-$A68</f>
        <v>20.81</v>
      </c>
      <c r="F68" s="204">
        <f t="shared" ref="F68:BL68" si="27">E68-$A68</f>
        <v>20.619999999999997</v>
      </c>
      <c r="G68" s="204">
        <f t="shared" si="27"/>
        <v>20.429999999999996</v>
      </c>
      <c r="H68" s="204">
        <f t="shared" si="27"/>
        <v>20.239999999999995</v>
      </c>
      <c r="I68" s="204">
        <f t="shared" si="27"/>
        <v>20.049999999999994</v>
      </c>
      <c r="J68" s="204">
        <f t="shared" si="27"/>
        <v>19.859999999999992</v>
      </c>
      <c r="K68" s="204">
        <f t="shared" si="27"/>
        <v>19.669999999999991</v>
      </c>
      <c r="L68" s="204">
        <f t="shared" si="27"/>
        <v>19.47999999999999</v>
      </c>
      <c r="M68" s="204">
        <f t="shared" si="27"/>
        <v>19.289999999999988</v>
      </c>
      <c r="N68" s="204">
        <f t="shared" si="27"/>
        <v>19.099999999999987</v>
      </c>
      <c r="O68" s="204">
        <f t="shared" si="27"/>
        <v>18.909999999999986</v>
      </c>
      <c r="P68" s="204">
        <f t="shared" si="27"/>
        <v>18.719999999999985</v>
      </c>
      <c r="Q68" s="204">
        <f t="shared" si="27"/>
        <v>18.529999999999983</v>
      </c>
      <c r="R68" s="204">
        <f t="shared" si="27"/>
        <v>18.339999999999982</v>
      </c>
      <c r="S68" s="204">
        <f t="shared" si="27"/>
        <v>18.149999999999981</v>
      </c>
      <c r="T68" s="204">
        <f t="shared" si="27"/>
        <v>17.95999999999998</v>
      </c>
      <c r="U68" s="204">
        <f t="shared" si="27"/>
        <v>17.769999999999978</v>
      </c>
      <c r="V68" s="204">
        <f t="shared" si="27"/>
        <v>17.579999999999977</v>
      </c>
      <c r="W68" s="204">
        <f t="shared" si="27"/>
        <v>17.389999999999976</v>
      </c>
      <c r="X68" s="204">
        <f t="shared" si="27"/>
        <v>17.199999999999974</v>
      </c>
      <c r="Y68" s="204">
        <f t="shared" si="27"/>
        <v>17.009999999999973</v>
      </c>
      <c r="Z68" s="204">
        <f t="shared" si="27"/>
        <v>16.819999999999972</v>
      </c>
      <c r="AA68" s="204">
        <f t="shared" si="27"/>
        <v>16.629999999999971</v>
      </c>
      <c r="AB68" s="204">
        <f t="shared" si="27"/>
        <v>16.439999999999969</v>
      </c>
      <c r="AC68" s="204">
        <f t="shared" si="27"/>
        <v>16.249999999999968</v>
      </c>
      <c r="AD68" s="204">
        <f t="shared" si="27"/>
        <v>16.059999999999967</v>
      </c>
      <c r="AE68" s="204">
        <f t="shared" si="27"/>
        <v>15.869999999999967</v>
      </c>
      <c r="AF68" s="204">
        <f t="shared" si="27"/>
        <v>15.679999999999968</v>
      </c>
      <c r="AG68" s="204">
        <f t="shared" si="27"/>
        <v>15.489999999999968</v>
      </c>
      <c r="AH68" s="204">
        <f t="shared" si="27"/>
        <v>15.299999999999969</v>
      </c>
      <c r="AI68" s="204">
        <f t="shared" si="27"/>
        <v>15.109999999999969</v>
      </c>
      <c r="AJ68" s="204">
        <f t="shared" si="27"/>
        <v>14.91999999999997</v>
      </c>
      <c r="AK68" s="204">
        <f t="shared" si="27"/>
        <v>14.72999999999997</v>
      </c>
      <c r="AL68" s="204">
        <f t="shared" si="27"/>
        <v>14.539999999999971</v>
      </c>
      <c r="AM68" s="204">
        <f t="shared" si="27"/>
        <v>14.349999999999971</v>
      </c>
      <c r="AN68" s="204">
        <f t="shared" si="27"/>
        <v>14.159999999999972</v>
      </c>
      <c r="AO68" s="204">
        <f t="shared" si="27"/>
        <v>13.969999999999972</v>
      </c>
      <c r="AP68" s="204">
        <f t="shared" si="27"/>
        <v>13.779999999999973</v>
      </c>
      <c r="AQ68" s="204">
        <f t="shared" si="27"/>
        <v>13.589999999999973</v>
      </c>
      <c r="AR68" s="204">
        <f t="shared" si="27"/>
        <v>13.399999999999974</v>
      </c>
      <c r="AS68" s="204">
        <f t="shared" si="27"/>
        <v>13.209999999999974</v>
      </c>
      <c r="AT68" s="204">
        <f t="shared" si="27"/>
        <v>13.019999999999975</v>
      </c>
      <c r="AU68" s="204">
        <f t="shared" si="27"/>
        <v>12.829999999999975</v>
      </c>
      <c r="AV68" s="204">
        <f t="shared" si="27"/>
        <v>12.639999999999976</v>
      </c>
      <c r="AW68" s="204">
        <f t="shared" si="27"/>
        <v>12.449999999999976</v>
      </c>
      <c r="AX68" s="204">
        <f t="shared" si="27"/>
        <v>12.259999999999977</v>
      </c>
      <c r="AY68" s="204">
        <f t="shared" si="27"/>
        <v>12.069999999999977</v>
      </c>
      <c r="AZ68" s="204">
        <f t="shared" si="27"/>
        <v>11.879999999999978</v>
      </c>
      <c r="BA68" s="204">
        <f t="shared" si="27"/>
        <v>11.689999999999978</v>
      </c>
      <c r="BB68" s="204">
        <f t="shared" si="27"/>
        <v>11.499999999999979</v>
      </c>
      <c r="BC68" s="204">
        <f t="shared" si="27"/>
        <v>11.309999999999979</v>
      </c>
      <c r="BD68" s="204">
        <f t="shared" si="27"/>
        <v>11.11999999999998</v>
      </c>
      <c r="BE68" s="204">
        <f t="shared" si="27"/>
        <v>10.92999999999998</v>
      </c>
      <c r="BF68" s="204">
        <f t="shared" si="27"/>
        <v>10.739999999999981</v>
      </c>
      <c r="BG68" s="204">
        <f t="shared" si="27"/>
        <v>10.549999999999981</v>
      </c>
      <c r="BH68" s="204">
        <f t="shared" si="27"/>
        <v>10.359999999999982</v>
      </c>
      <c r="BI68" s="204">
        <f t="shared" si="27"/>
        <v>10.169999999999982</v>
      </c>
      <c r="BJ68" s="204">
        <f t="shared" si="27"/>
        <v>9.9799999999999827</v>
      </c>
      <c r="BK68" s="204">
        <f t="shared" si="27"/>
        <v>9.7899999999999832</v>
      </c>
      <c r="BL68" s="204">
        <f t="shared" si="27"/>
        <v>9.5999999999999837</v>
      </c>
    </row>
    <row r="69" spans="1:64" s="38" customFormat="1">
      <c r="B69" s="279" t="s">
        <v>603</v>
      </c>
      <c r="C69" t="s">
        <v>86</v>
      </c>
      <c r="D69" s="280">
        <f>D68/2+D70/2</f>
        <v>15.85</v>
      </c>
      <c r="E69" s="280">
        <f t="shared" ref="E69:BL69" si="28">E68/2+E70/2</f>
        <v>15.719999999999999</v>
      </c>
      <c r="F69" s="280">
        <f t="shared" si="28"/>
        <v>15.589999999999998</v>
      </c>
      <c r="G69" s="280">
        <f t="shared" si="28"/>
        <v>15.459999999999997</v>
      </c>
      <c r="H69" s="280">
        <f t="shared" si="28"/>
        <v>15.329999999999997</v>
      </c>
      <c r="I69" s="280">
        <f t="shared" si="28"/>
        <v>15.199999999999996</v>
      </c>
      <c r="J69" s="280">
        <f t="shared" si="28"/>
        <v>15.069999999999995</v>
      </c>
      <c r="K69" s="280">
        <f t="shared" si="28"/>
        <v>14.939999999999994</v>
      </c>
      <c r="L69" s="280">
        <f t="shared" si="28"/>
        <v>14.809999999999993</v>
      </c>
      <c r="M69" s="280">
        <f t="shared" si="28"/>
        <v>14.679999999999993</v>
      </c>
      <c r="N69" s="280">
        <f t="shared" si="28"/>
        <v>14.549999999999992</v>
      </c>
      <c r="O69" s="280">
        <f t="shared" si="28"/>
        <v>14.419999999999991</v>
      </c>
      <c r="P69" s="280">
        <f t="shared" si="28"/>
        <v>14.28999999999999</v>
      </c>
      <c r="Q69" s="280">
        <f t="shared" si="28"/>
        <v>14.159999999999989</v>
      </c>
      <c r="R69" s="280">
        <f t="shared" si="28"/>
        <v>14.029999999999989</v>
      </c>
      <c r="S69" s="280">
        <f t="shared" si="28"/>
        <v>13.899999999999988</v>
      </c>
      <c r="T69" s="280">
        <f t="shared" si="28"/>
        <v>13.769999999999987</v>
      </c>
      <c r="U69" s="280">
        <f t="shared" si="28"/>
        <v>13.639999999999986</v>
      </c>
      <c r="V69" s="280">
        <f t="shared" si="28"/>
        <v>13.509999999999986</v>
      </c>
      <c r="W69" s="280">
        <f t="shared" si="28"/>
        <v>13.379999999999985</v>
      </c>
      <c r="X69" s="280">
        <f t="shared" si="28"/>
        <v>13.249999999999984</v>
      </c>
      <c r="Y69" s="280">
        <f t="shared" si="28"/>
        <v>13.119999999999983</v>
      </c>
      <c r="Z69" s="280">
        <f t="shared" si="28"/>
        <v>12.989999999999982</v>
      </c>
      <c r="AA69" s="280">
        <f t="shared" si="28"/>
        <v>12.859999999999982</v>
      </c>
      <c r="AB69" s="280">
        <f t="shared" si="28"/>
        <v>12.729999999999981</v>
      </c>
      <c r="AC69" s="280">
        <f t="shared" si="28"/>
        <v>12.59999999999998</v>
      </c>
      <c r="AD69" s="280">
        <f t="shared" si="28"/>
        <v>12.469999999999979</v>
      </c>
      <c r="AE69" s="280">
        <f t="shared" si="28"/>
        <v>12.339999999999979</v>
      </c>
      <c r="AF69" s="280">
        <f t="shared" si="28"/>
        <v>12.20999999999998</v>
      </c>
      <c r="AG69" s="280">
        <f t="shared" si="28"/>
        <v>12.079999999999981</v>
      </c>
      <c r="AH69" s="280">
        <f t="shared" si="28"/>
        <v>11.94999999999998</v>
      </c>
      <c r="AI69" s="280">
        <f t="shared" si="28"/>
        <v>11.819999999999979</v>
      </c>
      <c r="AJ69" s="280">
        <f t="shared" si="28"/>
        <v>11.68999999999998</v>
      </c>
      <c r="AK69" s="280">
        <f t="shared" si="28"/>
        <v>11.559999999999981</v>
      </c>
      <c r="AL69" s="280">
        <f t="shared" si="28"/>
        <v>11.42999999999998</v>
      </c>
      <c r="AM69" s="280">
        <f t="shared" si="28"/>
        <v>11.299999999999979</v>
      </c>
      <c r="AN69" s="280">
        <f t="shared" si="28"/>
        <v>11.16999999999998</v>
      </c>
      <c r="AO69" s="280">
        <f t="shared" si="28"/>
        <v>11.039999999999981</v>
      </c>
      <c r="AP69" s="280">
        <f t="shared" si="28"/>
        <v>10.909999999999981</v>
      </c>
      <c r="AQ69" s="280">
        <f t="shared" si="28"/>
        <v>10.77999999999998</v>
      </c>
      <c r="AR69" s="280">
        <f t="shared" si="28"/>
        <v>10.649999999999981</v>
      </c>
      <c r="AS69" s="280">
        <f t="shared" si="28"/>
        <v>10.519999999999982</v>
      </c>
      <c r="AT69" s="280">
        <f t="shared" si="28"/>
        <v>10.389999999999981</v>
      </c>
      <c r="AU69" s="280">
        <f t="shared" si="28"/>
        <v>10.25999999999998</v>
      </c>
      <c r="AV69" s="280">
        <f t="shared" si="28"/>
        <v>10.129999999999981</v>
      </c>
      <c r="AW69" s="280">
        <f t="shared" si="28"/>
        <v>9.9999999999999822</v>
      </c>
      <c r="AX69" s="280">
        <f t="shared" si="28"/>
        <v>9.8699999999999815</v>
      </c>
      <c r="AY69" s="280">
        <f t="shared" si="28"/>
        <v>9.7399999999999807</v>
      </c>
      <c r="AZ69" s="280">
        <f t="shared" si="28"/>
        <v>9.6099999999999817</v>
      </c>
      <c r="BA69" s="280">
        <f t="shared" si="28"/>
        <v>9.4799999999999827</v>
      </c>
      <c r="BB69" s="280">
        <f t="shared" si="28"/>
        <v>9.3499999999999819</v>
      </c>
      <c r="BC69" s="280">
        <f t="shared" si="28"/>
        <v>9.2199999999999811</v>
      </c>
      <c r="BD69" s="280">
        <f t="shared" si="28"/>
        <v>9.0899999999999821</v>
      </c>
      <c r="BE69" s="280">
        <f t="shared" si="28"/>
        <v>8.9599999999999831</v>
      </c>
      <c r="BF69" s="280">
        <f t="shared" si="28"/>
        <v>8.8299999999999823</v>
      </c>
      <c r="BG69" s="280">
        <f t="shared" si="28"/>
        <v>8.6999999999999815</v>
      </c>
      <c r="BH69" s="280">
        <f t="shared" si="28"/>
        <v>8.5699999999999825</v>
      </c>
      <c r="BI69" s="280">
        <f t="shared" si="28"/>
        <v>8.4399999999999835</v>
      </c>
      <c r="BJ69" s="280">
        <f t="shared" si="28"/>
        <v>8.3099999999999827</v>
      </c>
      <c r="BK69" s="280">
        <f t="shared" si="28"/>
        <v>8.179999999999982</v>
      </c>
      <c r="BL69" s="280">
        <f t="shared" si="28"/>
        <v>8.0499999999999829</v>
      </c>
    </row>
    <row r="70" spans="1:64" s="38" customFormat="1">
      <c r="A70" s="38">
        <v>7.0000000000000007E-2</v>
      </c>
      <c r="B70" s="279" t="s">
        <v>604</v>
      </c>
      <c r="C70" t="s">
        <v>86</v>
      </c>
      <c r="D70" s="280">
        <v>10.7</v>
      </c>
      <c r="E70" s="204">
        <f>D70-$A70</f>
        <v>10.629999999999999</v>
      </c>
      <c r="F70" s="204">
        <f t="shared" ref="F70:BL70" si="29">E70-$A70</f>
        <v>10.559999999999999</v>
      </c>
      <c r="G70" s="204">
        <f t="shared" si="29"/>
        <v>10.489999999999998</v>
      </c>
      <c r="H70" s="204">
        <f t="shared" si="29"/>
        <v>10.419999999999998</v>
      </c>
      <c r="I70" s="204">
        <f t="shared" si="29"/>
        <v>10.349999999999998</v>
      </c>
      <c r="J70" s="204">
        <f t="shared" si="29"/>
        <v>10.279999999999998</v>
      </c>
      <c r="K70" s="204">
        <f t="shared" si="29"/>
        <v>10.209999999999997</v>
      </c>
      <c r="L70" s="204">
        <f t="shared" si="29"/>
        <v>10.139999999999997</v>
      </c>
      <c r="M70" s="204">
        <f t="shared" si="29"/>
        <v>10.069999999999997</v>
      </c>
      <c r="N70" s="204">
        <f t="shared" si="29"/>
        <v>9.9999999999999964</v>
      </c>
      <c r="O70" s="204">
        <f t="shared" si="29"/>
        <v>9.9299999999999962</v>
      </c>
      <c r="P70" s="204">
        <f t="shared" si="29"/>
        <v>9.8599999999999959</v>
      </c>
      <c r="Q70" s="204">
        <f t="shared" si="29"/>
        <v>9.7899999999999956</v>
      </c>
      <c r="R70" s="204">
        <f t="shared" si="29"/>
        <v>9.7199999999999953</v>
      </c>
      <c r="S70" s="204">
        <f t="shared" si="29"/>
        <v>9.649999999999995</v>
      </c>
      <c r="T70" s="204">
        <f t="shared" si="29"/>
        <v>9.5799999999999947</v>
      </c>
      <c r="U70" s="204">
        <f t="shared" si="29"/>
        <v>9.5099999999999945</v>
      </c>
      <c r="V70" s="204">
        <f t="shared" si="29"/>
        <v>9.4399999999999942</v>
      </c>
      <c r="W70" s="204">
        <f t="shared" si="29"/>
        <v>9.3699999999999939</v>
      </c>
      <c r="X70" s="204">
        <f t="shared" si="29"/>
        <v>9.2999999999999936</v>
      </c>
      <c r="Y70" s="204">
        <f t="shared" si="29"/>
        <v>9.2299999999999933</v>
      </c>
      <c r="Z70" s="204">
        <f t="shared" si="29"/>
        <v>9.159999999999993</v>
      </c>
      <c r="AA70" s="204">
        <f t="shared" si="29"/>
        <v>9.0899999999999928</v>
      </c>
      <c r="AB70" s="204">
        <f t="shared" si="29"/>
        <v>9.0199999999999925</v>
      </c>
      <c r="AC70" s="204">
        <f t="shared" si="29"/>
        <v>8.9499999999999922</v>
      </c>
      <c r="AD70" s="204">
        <f t="shared" si="29"/>
        <v>8.8799999999999919</v>
      </c>
      <c r="AE70" s="204">
        <f t="shared" si="29"/>
        <v>8.8099999999999916</v>
      </c>
      <c r="AF70" s="204">
        <f t="shared" si="29"/>
        <v>8.7399999999999913</v>
      </c>
      <c r="AG70" s="204">
        <f t="shared" si="29"/>
        <v>8.669999999999991</v>
      </c>
      <c r="AH70" s="204">
        <f t="shared" si="29"/>
        <v>8.5999999999999908</v>
      </c>
      <c r="AI70" s="204">
        <f t="shared" si="29"/>
        <v>8.5299999999999905</v>
      </c>
      <c r="AJ70" s="204">
        <f t="shared" si="29"/>
        <v>8.4599999999999902</v>
      </c>
      <c r="AK70" s="204">
        <f t="shared" si="29"/>
        <v>8.3899999999999899</v>
      </c>
      <c r="AL70" s="204">
        <f t="shared" si="29"/>
        <v>8.3199999999999896</v>
      </c>
      <c r="AM70" s="204">
        <f t="shared" si="29"/>
        <v>8.2499999999999893</v>
      </c>
      <c r="AN70" s="204">
        <f t="shared" si="29"/>
        <v>8.1799999999999891</v>
      </c>
      <c r="AO70" s="204">
        <f t="shared" si="29"/>
        <v>8.1099999999999888</v>
      </c>
      <c r="AP70" s="204">
        <f t="shared" si="29"/>
        <v>8.0399999999999885</v>
      </c>
      <c r="AQ70" s="204">
        <f t="shared" si="29"/>
        <v>7.9699999999999882</v>
      </c>
      <c r="AR70" s="204">
        <f t="shared" si="29"/>
        <v>7.8999999999999879</v>
      </c>
      <c r="AS70" s="204">
        <f t="shared" si="29"/>
        <v>7.8299999999999876</v>
      </c>
      <c r="AT70" s="204">
        <f t="shared" si="29"/>
        <v>7.7599999999999874</v>
      </c>
      <c r="AU70" s="204">
        <f t="shared" si="29"/>
        <v>7.6899999999999871</v>
      </c>
      <c r="AV70" s="204">
        <f t="shared" si="29"/>
        <v>7.6199999999999868</v>
      </c>
      <c r="AW70" s="204">
        <f t="shared" si="29"/>
        <v>7.5499999999999865</v>
      </c>
      <c r="AX70" s="204">
        <f t="shared" si="29"/>
        <v>7.4799999999999862</v>
      </c>
      <c r="AY70" s="204">
        <f t="shared" si="29"/>
        <v>7.4099999999999859</v>
      </c>
      <c r="AZ70" s="204">
        <f t="shared" si="29"/>
        <v>7.3399999999999856</v>
      </c>
      <c r="BA70" s="204">
        <f t="shared" si="29"/>
        <v>7.2699999999999854</v>
      </c>
      <c r="BB70" s="204">
        <f t="shared" si="29"/>
        <v>7.1999999999999851</v>
      </c>
      <c r="BC70" s="204">
        <f t="shared" si="29"/>
        <v>7.1299999999999848</v>
      </c>
      <c r="BD70" s="204">
        <f t="shared" si="29"/>
        <v>7.0599999999999845</v>
      </c>
      <c r="BE70" s="204">
        <f t="shared" si="29"/>
        <v>6.9899999999999842</v>
      </c>
      <c r="BF70" s="204">
        <f t="shared" si="29"/>
        <v>6.9199999999999839</v>
      </c>
      <c r="BG70" s="204">
        <f t="shared" si="29"/>
        <v>6.8499999999999837</v>
      </c>
      <c r="BH70" s="204">
        <f t="shared" si="29"/>
        <v>6.7799999999999834</v>
      </c>
      <c r="BI70" s="204">
        <f t="shared" si="29"/>
        <v>6.7099999999999831</v>
      </c>
      <c r="BJ70" s="204">
        <f t="shared" si="29"/>
        <v>6.6399999999999828</v>
      </c>
      <c r="BK70" s="204">
        <f t="shared" si="29"/>
        <v>6.5699999999999825</v>
      </c>
      <c r="BL70" s="204">
        <f t="shared" si="29"/>
        <v>6.4999999999999822</v>
      </c>
    </row>
    <row r="71" spans="1:64" s="38" customFormat="1">
      <c r="A71" t="s">
        <v>77</v>
      </c>
      <c r="B71" t="s">
        <v>574</v>
      </c>
      <c r="C71" t="s">
        <v>86</v>
      </c>
      <c r="D71" s="204">
        <f>'1_UK stats LDVs'!D193</f>
        <v>11.394145162682019</v>
      </c>
      <c r="E71" s="204">
        <f>'1_UK stats LDVs'!E193</f>
        <v>10.896034123663487</v>
      </c>
      <c r="F71" s="204">
        <f>'1_UK stats LDVs'!F193</f>
        <v>10.756129422691213</v>
      </c>
      <c r="G71" s="204">
        <f>'1_UK stats LDVs'!G193</f>
        <v>10.547328775465031</v>
      </c>
      <c r="H71" s="204">
        <f>'1_UK stats LDVs'!H193</f>
        <v>10.327359311064381</v>
      </c>
      <c r="I71" s="204">
        <f>'1_UK stats LDVs'!I193</f>
        <v>10.198044392937639</v>
      </c>
      <c r="J71" s="204">
        <f>'1_UK stats LDVs'!J193</f>
        <v>10.007943017213224</v>
      </c>
      <c r="K71" s="204">
        <f>'1_UK stats LDVs'!K193</f>
        <v>10.150762612632905</v>
      </c>
      <c r="L71" s="204">
        <f>'1_UK stats LDVs'!L193</f>
        <v>10.26370073971129</v>
      </c>
      <c r="M71" s="204">
        <f>'1_UK stats LDVs'!M193</f>
        <v>10.276722295721001</v>
      </c>
      <c r="N71" s="204">
        <f>'1_UK stats LDVs'!N193</f>
        <v>9.7277444087640959</v>
      </c>
      <c r="O71" s="204">
        <f>'1_UK stats LDVs'!O193</f>
        <v>9.6420305064140823</v>
      </c>
      <c r="P71" s="204">
        <f>'1_UK stats LDVs'!P193</f>
        <v>9.7177198666756208</v>
      </c>
      <c r="Q71" s="204">
        <f>'1_UK stats LDVs'!Q193</f>
        <v>9.843390192063346</v>
      </c>
      <c r="R71" s="204">
        <f>'1_UK stats LDVs'!R193</f>
        <v>9.7552038746361767</v>
      </c>
      <c r="S71" s="204">
        <f>'1_UK stats LDVs'!S193</f>
        <v>9.4550370174423364</v>
      </c>
      <c r="T71" s="204">
        <f>'1_UK stats LDVs'!T193</f>
        <v>9.4266303714170885</v>
      </c>
      <c r="U71" s="204">
        <f>'1_UK stats LDVs'!U193</f>
        <v>9.5236473309181324</v>
      </c>
      <c r="V71" s="204">
        <f>'1_UK stats LDVs'!V193</f>
        <v>9.6847096138905933</v>
      </c>
      <c r="W71" s="204">
        <f>'1_UK stats LDVs'!W193</f>
        <v>9.9082915321323508</v>
      </c>
      <c r="X71" s="204">
        <f>'1_UK stats LDVs'!X193</f>
        <v>9.5280213711818007</v>
      </c>
      <c r="Y71" s="204">
        <f>'1_UK stats LDVs'!Y193</f>
        <v>9.1211314918860538</v>
      </c>
      <c r="Z71" s="204">
        <f>'1_UK stats LDVs'!Z193</f>
        <v>9.1077174705477155</v>
      </c>
      <c r="AA71" s="204">
        <f>'1_UK stats LDVs'!AA193</f>
        <v>9.1443624147924343</v>
      </c>
      <c r="AB71" s="204">
        <f>'1_UK stats LDVs'!AB193</f>
        <v>8.9864888341390827</v>
      </c>
      <c r="AC71" s="204">
        <f>'1_UK stats LDVs'!AC193</f>
        <v>8.8509204226541964</v>
      </c>
      <c r="AD71" s="204">
        <f>'1_UK stats LDVs'!AD193</f>
        <v>8.8706216280262176</v>
      </c>
      <c r="AE71" s="204">
        <f>'1_UK stats LDVs'!AE193</f>
        <v>8.5721624311838909</v>
      </c>
      <c r="AF71" s="204">
        <f>'1_UK stats LDVs'!AF193</f>
        <v>8.4230796181552119</v>
      </c>
      <c r="AG71" s="204">
        <f>'1_UK stats LDVs'!AG193</f>
        <v>8.1251879752986156</v>
      </c>
      <c r="AH71" s="204">
        <f>'1_UK stats LDVs'!AH193</f>
        <v>8.3574611147925797</v>
      </c>
      <c r="AI71" s="204">
        <f>'1_UK stats LDVs'!AI193</f>
        <v>8.345361911672363</v>
      </c>
      <c r="AJ71" s="204">
        <f>'1_UK stats LDVs'!AJ193</f>
        <v>8.4655048875693399</v>
      </c>
      <c r="AK71" s="204">
        <f>'1_UK stats LDVs'!AK193</f>
        <v>8.5688552618302722</v>
      </c>
      <c r="AL71" s="204">
        <f>'1_UK stats LDVs'!AL193</f>
        <v>8.3558699666275942</v>
      </c>
      <c r="AM71" s="204">
        <f>'1_UK stats LDVs'!AM193</f>
        <v>8.1164637553443271</v>
      </c>
      <c r="AN71" s="204">
        <f>'1_UK stats LDVs'!AN193</f>
        <v>8.2511705504000226</v>
      </c>
      <c r="AO71" s="204">
        <f>'1_UK stats LDVs'!AO193</f>
        <v>8.1995520561525996</v>
      </c>
      <c r="AP71" s="204">
        <f>'1_UK stats LDVs'!AP193</f>
        <v>8.0184230777835275</v>
      </c>
      <c r="AQ71" s="204">
        <f>'1_UK stats LDVs'!AQ193</f>
        <v>8.010577073149781</v>
      </c>
      <c r="AR71" s="204">
        <f>'1_UK stats LDVs'!AR193</f>
        <v>8.006772916392304</v>
      </c>
      <c r="AS71" s="204">
        <f>'1_UK stats LDVs'!AS193</f>
        <v>7.8948595847210257</v>
      </c>
      <c r="AT71" s="204">
        <f>'1_UK stats LDVs'!AT193</f>
        <v>7.873752090064535</v>
      </c>
      <c r="AU71" s="204">
        <f>'1_UK stats LDVs'!AU193</f>
        <v>7.7814286993783108</v>
      </c>
      <c r="AV71" s="204">
        <f>'1_UK stats LDVs'!AV193</f>
        <v>7.7578694215899766</v>
      </c>
      <c r="AW71" s="204">
        <f>'1_UK stats LDVs'!AW193</f>
        <v>7.8148017291287468</v>
      </c>
      <c r="AX71" s="204">
        <f>'1_UK stats LDVs'!AX193</f>
        <v>7.7095434669683822</v>
      </c>
      <c r="AY71" s="204">
        <f>'1_UK stats LDVs'!AY193</f>
        <v>7.7458380276500476</v>
      </c>
      <c r="AZ71" s="204">
        <f>'1_UK stats LDVs'!AZ193</f>
        <v>7.6092377742710156</v>
      </c>
      <c r="BA71" s="204">
        <f>'1_UK stats LDVs'!BA193</f>
        <v>7.420329690838158</v>
      </c>
      <c r="BB71" s="204">
        <f>'1_UK stats LDVs'!BB193</f>
        <v>7.3040830367006482</v>
      </c>
      <c r="BC71" s="204">
        <f>'1_UK stats LDVs'!BC193</f>
        <v>7.1793121540002129</v>
      </c>
      <c r="BD71" s="204">
        <f>'1_UK stats LDVs'!BD193</f>
        <v>7.1408391358039083</v>
      </c>
      <c r="BE71" s="204">
        <f>'1_UK stats LDVs'!BE193</f>
        <v>7.0062493702249471</v>
      </c>
      <c r="BF71" s="204">
        <f>'1_UK stats LDVs'!BF193</f>
        <v>6.85158141997253</v>
      </c>
      <c r="BG71" s="204">
        <f>'1_UK stats LDVs'!BG193</f>
        <v>6.7947847806026118</v>
      </c>
      <c r="BH71" s="204">
        <f>'1_UK stats LDVs'!BH193</f>
        <v>6.7488001974409784</v>
      </c>
      <c r="BI71" s="204">
        <f>'1_UK stats LDVs'!BI193</f>
        <v>6.6157064631548108</v>
      </c>
      <c r="BJ71" s="204">
        <f>'1_UK stats LDVs'!BJ193</f>
        <v>6.4192686331737443</v>
      </c>
      <c r="BK71" s="281">
        <f>BJ71+(BJ71-BE71)/5</f>
        <v>6.3018724857635036</v>
      </c>
      <c r="BL71" s="282">
        <f>BK71+BK71-BJ71</f>
        <v>6.1844763383532628</v>
      </c>
    </row>
    <row r="72" spans="1:64">
      <c r="A72" t="s">
        <v>223</v>
      </c>
      <c r="B72" t="s">
        <v>575</v>
      </c>
      <c r="C72" t="s">
        <v>86</v>
      </c>
      <c r="D72" s="285">
        <f t="shared" ref="D72:G72" si="30">E72-(F72-E72)</f>
        <v>20.189431019371888</v>
      </c>
      <c r="E72" s="285">
        <f t="shared" si="30"/>
        <v>20.172470652134976</v>
      </c>
      <c r="F72" s="285">
        <f t="shared" si="30"/>
        <v>20.155510284898064</v>
      </c>
      <c r="G72" s="285">
        <f t="shared" si="30"/>
        <v>20.138549917661152</v>
      </c>
      <c r="H72" s="285">
        <f>I72-(J72-I72)</f>
        <v>20.12158955042424</v>
      </c>
      <c r="I72" s="285">
        <f>J72-(O72-J72)/5</f>
        <v>20.104629183187328</v>
      </c>
      <c r="J72" s="267">
        <v>20.087668815950416</v>
      </c>
      <c r="K72" s="267">
        <v>19.904201475633407</v>
      </c>
      <c r="L72" s="267">
        <v>20.091834852009786</v>
      </c>
      <c r="M72" s="267">
        <v>20.309072711514876</v>
      </c>
      <c r="N72" s="267">
        <v>20.200856012050924</v>
      </c>
      <c r="O72" s="267">
        <v>20.002866979765852</v>
      </c>
      <c r="P72" s="267">
        <v>20.006071660271076</v>
      </c>
      <c r="Q72" s="267">
        <v>19.95310610776944</v>
      </c>
      <c r="R72" s="267">
        <v>19.386024962050115</v>
      </c>
      <c r="S72" s="267">
        <v>19.652425495383266</v>
      </c>
      <c r="T72" s="267">
        <v>19.435740724880382</v>
      </c>
      <c r="U72" s="267">
        <v>18.970049152075042</v>
      </c>
      <c r="V72" s="267">
        <v>18.536306590807325</v>
      </c>
      <c r="W72" s="267">
        <v>18.057905756462063</v>
      </c>
      <c r="X72" s="267">
        <v>17.167609865859543</v>
      </c>
      <c r="Y72" s="267">
        <v>16.69645812137729</v>
      </c>
      <c r="Z72" s="267">
        <v>15.785641875819444</v>
      </c>
      <c r="AA72" s="267">
        <v>15.601028459157385</v>
      </c>
      <c r="AB72" s="267">
        <v>15.301228118987604</v>
      </c>
      <c r="AC72" s="267">
        <v>15.027762353142954</v>
      </c>
      <c r="AD72" s="267">
        <v>14.895683288261045</v>
      </c>
      <c r="AE72" s="267">
        <v>14.484991394935548</v>
      </c>
      <c r="AF72" s="267">
        <v>14.000737446335194</v>
      </c>
      <c r="AG72" s="267">
        <v>13.542102851153356</v>
      </c>
      <c r="AH72" s="267">
        <v>13.206281626921475</v>
      </c>
      <c r="AI72" s="267">
        <v>12.597835778586635</v>
      </c>
      <c r="AJ72" s="267">
        <v>12.490523974829561</v>
      </c>
      <c r="AK72" s="267">
        <v>12.563540424037576</v>
      </c>
      <c r="AL72" s="267">
        <v>12.518764772764237</v>
      </c>
      <c r="AM72" s="267">
        <v>12.398374328899509</v>
      </c>
      <c r="AN72" s="267">
        <v>12.390414302472603</v>
      </c>
      <c r="AO72" s="267">
        <v>12.328515901234825</v>
      </c>
      <c r="AP72" s="267">
        <v>12.29796648337873</v>
      </c>
      <c r="AQ72" s="267">
        <v>12.390635908360304</v>
      </c>
      <c r="AR72" s="267">
        <v>12.094931225592203</v>
      </c>
      <c r="AS72" s="267">
        <v>11.947083254982447</v>
      </c>
      <c r="AT72" s="267">
        <v>12.027224527010063</v>
      </c>
      <c r="AU72" s="267">
        <v>12.481952956756972</v>
      </c>
      <c r="AV72" s="267">
        <v>12.365578048521055</v>
      </c>
      <c r="AW72" s="267">
        <v>11.886217112612892</v>
      </c>
      <c r="AX72" s="267">
        <v>11.718017707508444</v>
      </c>
      <c r="AY72" s="267">
        <v>12.319455409015307</v>
      </c>
      <c r="AZ72" s="267">
        <v>12.107851616549421</v>
      </c>
      <c r="BA72" s="267">
        <v>12.144605102699138</v>
      </c>
      <c r="BB72" s="267">
        <v>12.218120881425881</v>
      </c>
      <c r="BC72" s="267">
        <v>12.016187432091751</v>
      </c>
      <c r="BD72" s="267">
        <v>11.970569812377059</v>
      </c>
      <c r="BE72" s="267">
        <v>11.916473283390877</v>
      </c>
      <c r="BF72" s="267">
        <v>12.031592172675875</v>
      </c>
      <c r="BG72" s="267">
        <v>11.759714535382427</v>
      </c>
      <c r="BH72" s="267">
        <v>11.719950998548537</v>
      </c>
      <c r="BI72" s="267">
        <v>11.581839338825704</v>
      </c>
      <c r="BJ72" s="267">
        <v>11.402736294892405</v>
      </c>
      <c r="BK72" s="281">
        <f>BJ72+(BJ72-BE72)/5</f>
        <v>11.29998889719271</v>
      </c>
      <c r="BL72" s="282">
        <f>BK72+BK72-BJ72</f>
        <v>11.197241499493016</v>
      </c>
    </row>
    <row r="73" spans="1:64">
      <c r="B73" t="s">
        <v>601</v>
      </c>
      <c r="C73" t="s">
        <v>86</v>
      </c>
      <c r="D73" s="267">
        <f>'1_UK stats LDVs'!D179</f>
        <v>9.0931169128852449</v>
      </c>
      <c r="E73" s="267">
        <f>'1_UK stats LDVs'!E179</f>
        <v>8.798791086622213</v>
      </c>
      <c r="F73" s="267">
        <f>'1_UK stats LDVs'!F179</f>
        <v>8.9982129705945706</v>
      </c>
      <c r="G73" s="267">
        <f>'1_UK stats LDVs'!G179</f>
        <v>8.9242736794666317</v>
      </c>
      <c r="H73" s="267">
        <f>'1_UK stats LDVs'!H179</f>
        <v>9.3866720837426154</v>
      </c>
      <c r="I73" s="267">
        <f>'1_UK stats LDVs'!I179</f>
        <v>9.3095093618617675</v>
      </c>
      <c r="J73" s="267">
        <f>'1_UK stats LDVs'!J179</f>
        <v>9.5349685334242498</v>
      </c>
      <c r="K73" s="267">
        <f>'1_UK stats LDVs'!K179</f>
        <v>10.056667724471493</v>
      </c>
      <c r="L73" s="267">
        <f>'1_UK stats LDVs'!L179</f>
        <v>10.389191987795739</v>
      </c>
      <c r="M73" s="267">
        <f>'1_UK stats LDVs'!M179</f>
        <v>10.425134746184987</v>
      </c>
      <c r="N73" s="267">
        <f>'1_UK stats LDVs'!N179</f>
        <v>9.8149202230096133</v>
      </c>
      <c r="O73" s="267">
        <f>'1_UK stats LDVs'!O179</f>
        <v>9.6991909399058667</v>
      </c>
      <c r="P73" s="267">
        <f>'1_UK stats LDVs'!P179</f>
        <v>9.7202430123036834</v>
      </c>
      <c r="Q73" s="267">
        <f>'1_UK stats LDVs'!Q179</f>
        <v>9.8241352681089804</v>
      </c>
      <c r="R73" s="267">
        <f>'1_UK stats LDVs'!R179</f>
        <v>9.779518155347132</v>
      </c>
      <c r="S73" s="267">
        <f>'1_UK stats LDVs'!S179</f>
        <v>9.4577174181167152</v>
      </c>
      <c r="T73" s="267">
        <f>'1_UK stats LDVs'!T179</f>
        <v>9.3895714546389897</v>
      </c>
      <c r="U73" s="267">
        <f>'1_UK stats LDVs'!U179</f>
        <v>9.5006955169874647</v>
      </c>
      <c r="V73" s="267">
        <f>'1_UK stats LDVs'!V179</f>
        <v>9.5813245768321931</v>
      </c>
      <c r="W73" s="267">
        <f>'1_UK stats LDVs'!W179</f>
        <v>9.7804188999563415</v>
      </c>
      <c r="X73" s="267">
        <f>'1_UK stats LDVs'!X179</f>
        <v>9.3685338419512245</v>
      </c>
      <c r="Y73" s="267">
        <f>'1_UK stats LDVs'!Y179</f>
        <v>8.9955156834267651</v>
      </c>
      <c r="Z73" s="267">
        <f>'1_UK stats LDVs'!Z179</f>
        <v>9.0135089574565015</v>
      </c>
      <c r="AA73" s="267">
        <f>'1_UK stats LDVs'!AA179</f>
        <v>9.0737634028298402</v>
      </c>
      <c r="AB73" s="267">
        <f>'1_UK stats LDVs'!AB179</f>
        <v>8.9960369000542304</v>
      </c>
      <c r="AC73" s="267">
        <f>'1_UK stats LDVs'!AC179</f>
        <v>8.854450444547048</v>
      </c>
      <c r="AD73" s="267">
        <f>'1_UK stats LDVs'!AD179</f>
        <v>8.9886317875058026</v>
      </c>
      <c r="AE73" s="267">
        <f>'1_UK stats LDVs'!AE179</f>
        <v>8.5140398290670873</v>
      </c>
      <c r="AF73" s="267">
        <f>'1_UK stats LDVs'!AF179</f>
        <v>8.4432922122601131</v>
      </c>
      <c r="AG73" s="267">
        <f>'1_UK stats LDVs'!AG179</f>
        <v>8.8743397707880529</v>
      </c>
      <c r="AH73" s="267">
        <f>'1_UK stats LDVs'!AH179</f>
        <v>8.5598755607325785</v>
      </c>
      <c r="AI73" s="267">
        <f>'1_UK stats LDVs'!AI179</f>
        <v>8.5467407699789497</v>
      </c>
      <c r="AJ73" s="267">
        <f>'1_UK stats LDVs'!AJ179</f>
        <v>8.6406226992000388</v>
      </c>
      <c r="AK73" s="267">
        <f>'1_UK stats LDVs'!AK179</f>
        <v>8.6478098920639557</v>
      </c>
      <c r="AL73" s="267">
        <f>'1_UK stats LDVs'!AL179</f>
        <v>8.4468853900977621</v>
      </c>
      <c r="AM73" s="267">
        <f>'1_UK stats LDVs'!AM179</f>
        <v>8.1786719396886554</v>
      </c>
      <c r="AN73" s="267">
        <f>'1_UK stats LDVs'!AN179</f>
        <v>8.3037798915977099</v>
      </c>
      <c r="AO73" s="267">
        <f>'1_UK stats LDVs'!AO179</f>
        <v>8.27289358553179</v>
      </c>
      <c r="AP73" s="267">
        <f>'1_UK stats LDVs'!AP179</f>
        <v>8.1079628771361154</v>
      </c>
      <c r="AQ73" s="267">
        <f>'1_UK stats LDVs'!AQ179</f>
        <v>8.0557836633361681</v>
      </c>
      <c r="AR73" s="267">
        <f>'1_UK stats LDVs'!AR179</f>
        <v>8.0467597953929371</v>
      </c>
      <c r="AS73" s="267">
        <f>'1_UK stats LDVs'!AS179</f>
        <v>7.9053307504315873</v>
      </c>
      <c r="AT73" s="267">
        <f>'1_UK stats LDVs'!AT179</f>
        <v>7.838452566140842</v>
      </c>
      <c r="AU73" s="267">
        <f>'1_UK stats LDVs'!AU179</f>
        <v>7.7218731144414026</v>
      </c>
      <c r="AV73" s="267">
        <f>'1_UK stats LDVs'!AV179</f>
        <v>7.6461925303548375</v>
      </c>
      <c r="AW73" s="267">
        <f>'1_UK stats LDVs'!AW179</f>
        <v>7.6666522192454112</v>
      </c>
      <c r="AX73" s="267">
        <f>'1_UK stats LDVs'!AX179</f>
        <v>7.5292587310602155</v>
      </c>
      <c r="AY73" s="267">
        <f>'1_UK stats LDVs'!AY179</f>
        <v>7.5118960416225518</v>
      </c>
      <c r="AZ73" s="267">
        <f>'1_UK stats LDVs'!AZ179</f>
        <v>7.2760567402402252</v>
      </c>
      <c r="BA73" s="267">
        <f>'1_UK stats LDVs'!BA179</f>
        <v>7.1531286100615628</v>
      </c>
      <c r="BB73" s="267">
        <f>'1_UK stats LDVs'!BB179</f>
        <v>7.0802249700704607</v>
      </c>
      <c r="BC73" s="267">
        <f>'1_UK stats LDVs'!BC179</f>
        <v>6.955953106708705</v>
      </c>
      <c r="BD73" s="267">
        <f>'1_UK stats LDVs'!BD179</f>
        <v>6.9192861350996422</v>
      </c>
      <c r="BE73" s="267">
        <f>'1_UK stats LDVs'!BE179</f>
        <v>6.7753589301113983</v>
      </c>
      <c r="BF73" s="267">
        <f>'1_UK stats LDVs'!BF179</f>
        <v>6.6393248805180365</v>
      </c>
      <c r="BG73" s="267">
        <f>'1_UK stats LDVs'!BG179</f>
        <v>6.6064318013405021</v>
      </c>
      <c r="BH73" s="267">
        <f>'1_UK stats LDVs'!BH179</f>
        <v>6.5961434703141801</v>
      </c>
      <c r="BI73" s="267">
        <f>'1_UK stats LDVs'!BI179</f>
        <v>6.467480905124309</v>
      </c>
      <c r="BJ73" s="267">
        <f>'1_UK stats LDVs'!BJ179</f>
        <v>6.2971172876099981</v>
      </c>
      <c r="BK73" s="281">
        <f>BJ73+(BJ73-BE73)/5</f>
        <v>6.2014689591097181</v>
      </c>
      <c r="BL73" s="282">
        <f>BK73+BK73-BJ73</f>
        <v>6.105820630609438</v>
      </c>
    </row>
    <row r="74" spans="1:64">
      <c r="D74">
        <v>14.3</v>
      </c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  <c r="AA74" s="9"/>
      <c r="AB74" s="9"/>
      <c r="AC74" s="9"/>
      <c r="AD74" s="9"/>
      <c r="AE74" s="9"/>
      <c r="AF74" s="9"/>
      <c r="AG74" s="9"/>
      <c r="AH74" s="9"/>
      <c r="AI74" s="9"/>
      <c r="AJ74" s="9"/>
      <c r="AK74" s="9"/>
      <c r="AL74" s="9"/>
      <c r="AM74" s="9"/>
      <c r="AN74" s="9"/>
      <c r="AO74" s="9"/>
      <c r="AP74" s="9"/>
      <c r="AQ74" s="9"/>
      <c r="AR74" s="9"/>
      <c r="AS74" s="9"/>
      <c r="AT74" s="9"/>
      <c r="AU74" s="9"/>
      <c r="AV74" s="9"/>
      <c r="AW74" s="9"/>
      <c r="AX74" s="9"/>
      <c r="AY74" s="9"/>
      <c r="AZ74" s="9"/>
      <c r="BA74" s="9"/>
      <c r="BB74" s="9"/>
      <c r="BC74" s="9"/>
      <c r="BD74" s="9"/>
      <c r="BE74" s="9"/>
      <c r="BF74" s="9"/>
      <c r="BG74" s="9"/>
      <c r="BH74" s="9"/>
      <c r="BI74" s="9"/>
      <c r="BJ74" s="9"/>
    </row>
    <row r="75" spans="1:64">
      <c r="A75" t="s">
        <v>77</v>
      </c>
      <c r="B75" t="s">
        <v>555</v>
      </c>
      <c r="C75" t="s">
        <v>86</v>
      </c>
      <c r="D75" s="9">
        <f>'1_UK stats LDVs'!D151</f>
        <v>16.062054879824025</v>
      </c>
      <c r="E75" s="9">
        <f>'1_UK stats LDVs'!E151</f>
        <v>16.028644242411524</v>
      </c>
      <c r="F75" s="9">
        <f>'1_UK stats LDVs'!F151</f>
        <v>15.995303102376583</v>
      </c>
      <c r="G75" s="9">
        <f>'1_UK stats LDVs'!G151</f>
        <v>15.962031315157887</v>
      </c>
      <c r="H75" s="9">
        <f>'1_UK stats LDVs'!H151</f>
        <v>15.928828736494831</v>
      </c>
      <c r="I75" s="9">
        <f>'1_UK stats LDVs'!I151</f>
        <v>15.895695222426882</v>
      </c>
      <c r="J75" s="9">
        <f>'1_UK stats LDVs'!J151</f>
        <v>15.86263062929296</v>
      </c>
      <c r="K75" s="9">
        <f>'1_UK stats LDVs'!K151</f>
        <v>15.829634813730816</v>
      </c>
      <c r="L75" s="9">
        <f>'1_UK stats LDVs'!L151</f>
        <v>15.796707632676407</v>
      </c>
      <c r="M75" s="9">
        <f>'1_UK stats LDVs'!M151</f>
        <v>15.763848943363275</v>
      </c>
      <c r="N75" s="9">
        <f>'1_UK stats LDVs'!N151</f>
        <v>15.731058603321934</v>
      </c>
      <c r="O75" s="9">
        <f>'1_UK stats LDVs'!O151</f>
        <v>15.593617381954559</v>
      </c>
      <c r="P75" s="9">
        <f>'1_UK stats LDVs'!P151</f>
        <v>15.714414071787269</v>
      </c>
      <c r="Q75" s="9">
        <f>'1_UK stats LDVs'!Q151</f>
        <v>15.920566574736794</v>
      </c>
      <c r="R75" s="9">
        <f>'1_UK stats LDVs'!R151</f>
        <v>15.784501523247876</v>
      </c>
      <c r="S75" s="9">
        <f>'1_UK stats LDVs'!S151</f>
        <v>15.297794672056954</v>
      </c>
      <c r="T75" s="9">
        <f>'1_UK stats LDVs'!T151</f>
        <v>15.246521952683423</v>
      </c>
      <c r="U75" s="9">
        <f>'1_UK stats LDVs'!U151</f>
        <v>15.408661776862827</v>
      </c>
      <c r="V75" s="9">
        <f>'1_UK stats LDVs'!V151</f>
        <v>15.663303875388586</v>
      </c>
      <c r="W75" s="9">
        <f>'1_UK stats LDVs'!W151</f>
        <v>16.024497871077642</v>
      </c>
      <c r="X75" s="9">
        <f>'1_UK stats LDVs'!X151</f>
        <v>15.406883280669019</v>
      </c>
      <c r="Y75" s="9">
        <f>'1_UK stats LDVs'!Y151</f>
        <v>14.752766151016811</v>
      </c>
      <c r="Z75" s="9">
        <f>'1_UK stats LDVs'!Z151</f>
        <v>14.736050594302485</v>
      </c>
      <c r="AA75" s="9">
        <f>'1_UK stats LDVs'!AA151</f>
        <v>14.799651752913643</v>
      </c>
      <c r="AB75" s="9">
        <f>'1_UK stats LDVs'!AB151</f>
        <v>14.554500261133862</v>
      </c>
      <c r="AC75" s="9">
        <f>'1_UK stats LDVs'!AC151</f>
        <v>14.341886566327227</v>
      </c>
      <c r="AD75" s="9">
        <f>'1_UK stats LDVs'!AD151</f>
        <v>14.389308889287772</v>
      </c>
      <c r="AE75" s="9">
        <f>'1_UK stats LDVs'!AE151</f>
        <v>13.911548988676804</v>
      </c>
      <c r="AF75" s="9">
        <f>'1_UK stats LDVs'!AF151</f>
        <v>13.701078514066257</v>
      </c>
      <c r="AG75" s="9">
        <f>'1_UK stats LDVs'!AG151</f>
        <v>13.364413373481659</v>
      </c>
      <c r="AH75" s="9">
        <f>'1_UK stats LDVs'!AH151</f>
        <v>13.751370278085878</v>
      </c>
      <c r="AI75" s="9">
        <f>'1_UK stats LDVs'!AI151</f>
        <v>13.774602068036815</v>
      </c>
      <c r="AJ75" s="9">
        <f>'1_UK stats LDVs'!AJ151</f>
        <v>14.022637557916743</v>
      </c>
      <c r="AK75" s="9">
        <f>'1_UK stats LDVs'!AK151</f>
        <v>14.239095874393948</v>
      </c>
      <c r="AL75" s="9">
        <f>'1_UK stats LDVs'!AL151</f>
        <v>13.98769889490271</v>
      </c>
      <c r="AM75" s="9">
        <f>'1_UK stats LDVs'!AM151</f>
        <v>13.648088851143306</v>
      </c>
      <c r="AN75" s="9">
        <f>'1_UK stats LDVs'!AN151</f>
        <v>13.918167959980899</v>
      </c>
      <c r="AO75" s="9">
        <f>'1_UK stats LDVs'!AO151</f>
        <v>13.888261085458412</v>
      </c>
      <c r="AP75" s="9">
        <f>'1_UK stats LDVs'!AP151</f>
        <v>13.61924556122854</v>
      </c>
      <c r="AQ75" s="9">
        <f>'1_UK stats LDVs'!AQ151</f>
        <v>13.624639624722192</v>
      </c>
      <c r="AR75" s="9">
        <f>'1_UK stats LDVs'!AR151</f>
        <v>13.646023709968564</v>
      </c>
      <c r="AS75" s="9">
        <f>'1_UK stats LDVs'!AS151</f>
        <v>13.479021526161688</v>
      </c>
      <c r="AT75" s="9">
        <f>'1_UK stats LDVs'!AT151</f>
        <v>13.457092684898379</v>
      </c>
      <c r="AU75" s="9">
        <f>'1_UK stats LDVs'!AU151</f>
        <v>13.335169123340341</v>
      </c>
      <c r="AV75" s="9">
        <f>'1_UK stats LDVs'!AV151</f>
        <v>13.298028823014535</v>
      </c>
      <c r="AW75" s="9">
        <f>'1_UK stats LDVs'!AW151</f>
        <v>13.406618835806698</v>
      </c>
      <c r="AX75" s="9">
        <f>'1_UK stats LDVs'!AX151</f>
        <v>13.226315752148537</v>
      </c>
      <c r="AY75" s="9">
        <f>'1_UK stats LDVs'!AY151</f>
        <v>13.268663040680279</v>
      </c>
      <c r="AZ75" s="9">
        <f>'1_UK stats LDVs'!AZ151</f>
        <v>12.951788167341327</v>
      </c>
      <c r="BA75" s="9">
        <f>'1_UK stats LDVs'!BA151</f>
        <v>12.682614029093692</v>
      </c>
      <c r="BB75" s="9">
        <f>'1_UK stats LDVs'!BB151</f>
        <v>12.527656809709731</v>
      </c>
      <c r="BC75" s="9">
        <f>'1_UK stats LDVs'!BC151</f>
        <v>12.309756890991038</v>
      </c>
      <c r="BD75" s="9">
        <f>'1_UK stats LDVs'!BD151</f>
        <v>12.238840593898587</v>
      </c>
      <c r="BE75" s="9">
        <f>'1_UK stats LDVs'!BE151</f>
        <v>11.991388664021107</v>
      </c>
      <c r="BF75" s="9">
        <f>'1_UK stats LDVs'!BF151</f>
        <v>11.739909405174636</v>
      </c>
      <c r="BG75" s="9">
        <f>'1_UK stats LDVs'!BG151</f>
        <v>11.66335247214051</v>
      </c>
      <c r="BH75" s="9">
        <f>'1_UK stats LDVs'!BH151</f>
        <v>11.620710106509399</v>
      </c>
      <c r="BI75" s="9">
        <f>'1_UK stats LDVs'!BI151</f>
        <v>11.391234136641849</v>
      </c>
      <c r="BJ75" s="9">
        <f>'1_UK stats LDVs'!BJ151</f>
        <v>11.079234492709086</v>
      </c>
      <c r="BK75" s="9"/>
    </row>
    <row r="76" spans="1:64">
      <c r="A76" t="s">
        <v>77</v>
      </c>
      <c r="B76" t="s">
        <v>554</v>
      </c>
      <c r="C76" t="s">
        <v>86</v>
      </c>
      <c r="AR76" s="9">
        <f>AR82/$B$88</f>
        <v>11.069778097732614</v>
      </c>
      <c r="AS76" s="9">
        <f t="shared" ref="AS76:BG78" si="31">AS82/$B$88</f>
        <v>10.85684027402187</v>
      </c>
      <c r="AT76" s="9">
        <f t="shared" si="31"/>
        <v>10.737586315062767</v>
      </c>
      <c r="AU76" s="9">
        <f t="shared" si="31"/>
        <v>10.633579585756928</v>
      </c>
      <c r="AV76" s="9">
        <f t="shared" si="31"/>
        <v>10.536818214155911</v>
      </c>
      <c r="AW76" s="9">
        <f t="shared" si="31"/>
        <v>10.468769818393133</v>
      </c>
      <c r="AX76" s="9">
        <f t="shared" si="31"/>
        <v>10.37458100703634</v>
      </c>
      <c r="AY76" s="9">
        <f t="shared" si="31"/>
        <v>10.305362203426309</v>
      </c>
      <c r="AZ76" s="9">
        <f t="shared" si="31"/>
        <v>10.166599563276883</v>
      </c>
      <c r="BA76" s="9">
        <f t="shared" si="31"/>
        <v>10.029567143252354</v>
      </c>
      <c r="BB76" s="9">
        <f t="shared" si="31"/>
        <v>9.9354738855218194</v>
      </c>
      <c r="BC76" s="9">
        <f t="shared" si="31"/>
        <v>9.8320403409608161</v>
      </c>
      <c r="BD76" s="9">
        <f t="shared" si="31"/>
        <v>9.7285582188753779</v>
      </c>
      <c r="BE76" s="9">
        <f t="shared" si="31"/>
        <v>9.674411537789533</v>
      </c>
      <c r="BF76" s="9">
        <f t="shared" si="31"/>
        <v>9.5531172344478801</v>
      </c>
      <c r="BG76" s="9">
        <f t="shared" si="31"/>
        <v>9.3827264716570298</v>
      </c>
    </row>
    <row r="77" spans="1:64">
      <c r="A77" t="s">
        <v>557</v>
      </c>
      <c r="B77" t="s">
        <v>554</v>
      </c>
      <c r="C77" t="s">
        <v>86</v>
      </c>
      <c r="AR77" s="9">
        <f>AR83/$B$88</f>
        <v>10.360944791976205</v>
      </c>
      <c r="AS77" s="9">
        <f t="shared" si="31"/>
        <v>10.215307901497862</v>
      </c>
      <c r="AT77" s="9">
        <f t="shared" si="31"/>
        <v>10.221141158675056</v>
      </c>
      <c r="AU77" s="9">
        <f t="shared" si="31"/>
        <v>10.191460948892347</v>
      </c>
      <c r="AV77" s="9">
        <f t="shared" si="31"/>
        <v>10.15564259950615</v>
      </c>
      <c r="AW77" s="9">
        <f t="shared" si="31"/>
        <v>10.147406457003441</v>
      </c>
      <c r="AX77" s="9">
        <f t="shared" si="31"/>
        <v>10.175692548044299</v>
      </c>
      <c r="AY77" s="9">
        <f t="shared" si="31"/>
        <v>10.117876513739279</v>
      </c>
      <c r="AZ77" s="9">
        <f t="shared" si="31"/>
        <v>9.9547822247341422</v>
      </c>
      <c r="BA77" s="9">
        <f t="shared" si="31"/>
        <v>9.7679680196952976</v>
      </c>
      <c r="BB77" s="9">
        <f t="shared" si="31"/>
        <v>9.6652286700059236</v>
      </c>
      <c r="BC77" s="9">
        <f t="shared" si="31"/>
        <v>9.5780264660496517</v>
      </c>
      <c r="BD77" s="9">
        <f t="shared" si="31"/>
        <v>9.4952116605612513</v>
      </c>
      <c r="BE77" s="9">
        <f t="shared" si="31"/>
        <v>9.3764045291940441</v>
      </c>
      <c r="BF77" s="9">
        <f t="shared" si="31"/>
        <v>9.2982401443316061</v>
      </c>
      <c r="BG77" s="9">
        <f t="shared" si="31"/>
        <v>9.1660058633061325</v>
      </c>
    </row>
    <row r="78" spans="1:64">
      <c r="A78" t="s">
        <v>559</v>
      </c>
      <c r="B78" t="s">
        <v>554</v>
      </c>
      <c r="C78" t="s">
        <v>86</v>
      </c>
      <c r="AR78" s="9">
        <f>AR84/$B$88</f>
        <v>9.9077328530523232</v>
      </c>
      <c r="AS78" s="9">
        <f t="shared" si="31"/>
        <v>9.8556635323099933</v>
      </c>
      <c r="AT78" s="9">
        <f t="shared" si="31"/>
        <v>9.8668578792474868</v>
      </c>
      <c r="AU78" s="9">
        <f t="shared" si="31"/>
        <v>9.8759289455778791</v>
      </c>
      <c r="AV78" s="9">
        <f t="shared" si="31"/>
        <v>9.8809515326771695</v>
      </c>
      <c r="AW78" s="9">
        <f t="shared" si="31"/>
        <v>9.8933604086809304</v>
      </c>
      <c r="AX78" s="9">
        <f t="shared" si="31"/>
        <v>9.8922486189590533</v>
      </c>
      <c r="AY78" s="9">
        <f t="shared" si="31"/>
        <v>9.8919494315702803</v>
      </c>
      <c r="AZ78" s="9">
        <f t="shared" si="31"/>
        <v>9.8502412786429918</v>
      </c>
      <c r="BA78" s="9">
        <f t="shared" si="31"/>
        <v>9.7645635545188263</v>
      </c>
      <c r="BB78" s="9">
        <f t="shared" si="31"/>
        <v>9.7238730535354758</v>
      </c>
      <c r="BC78" s="9">
        <f t="shared" si="31"/>
        <v>9.6580774093591479</v>
      </c>
      <c r="BD78" s="9">
        <f t="shared" si="31"/>
        <v>9.582985605721916</v>
      </c>
      <c r="BE78" s="9">
        <f t="shared" si="31"/>
        <v>9.5119058667612748</v>
      </c>
      <c r="BF78" s="9">
        <f t="shared" si="31"/>
        <v>9.4334898656735859</v>
      </c>
      <c r="BG78" s="9">
        <f t="shared" si="31"/>
        <v>9.3597678639435316</v>
      </c>
    </row>
    <row r="82" spans="1:60">
      <c r="A82" t="s">
        <v>77</v>
      </c>
      <c r="B82" t="s">
        <v>599</v>
      </c>
      <c r="C82" t="s">
        <v>550</v>
      </c>
      <c r="AR82" s="9">
        <f>(('UK JRC'!B22*'UK JRC'!B64)+('UK JRC'!B43*'UK JRC'!B77))/('UK JRC'!B22+'UK JRC'!B43)</f>
        <v>8.1584264580289361</v>
      </c>
      <c r="AS82" s="9">
        <f>(('UK JRC'!C22*'UK JRC'!C64)+('UK JRC'!C43*'UK JRC'!C77))/('UK JRC'!C22+'UK JRC'!C43)</f>
        <v>8.0014912819541184</v>
      </c>
      <c r="AT82" s="9">
        <f>(('UK JRC'!D22*'UK JRC'!D64)+('UK JRC'!D43*'UK JRC'!D77))/('UK JRC'!D22+'UK JRC'!D43)</f>
        <v>7.9136011142012599</v>
      </c>
      <c r="AU82" s="9">
        <f>(('UK JRC'!E22*'UK JRC'!E64)+('UK JRC'!E43*'UK JRC'!E77))/('UK JRC'!E22+'UK JRC'!E43)</f>
        <v>7.8369481547028563</v>
      </c>
      <c r="AV82" s="9">
        <f>(('UK JRC'!F22*'UK JRC'!F64)+('UK JRC'!F43*'UK JRC'!F77))/('UK JRC'!F22+'UK JRC'!F43)</f>
        <v>7.7656350238329068</v>
      </c>
      <c r="AW82" s="9">
        <f>(('UK JRC'!G22*'UK JRC'!G64)+('UK JRC'!G43*'UK JRC'!G77))/('UK JRC'!G22+'UK JRC'!G43)</f>
        <v>7.7154833561557385</v>
      </c>
      <c r="AX82" s="9">
        <f>(('UK JRC'!H22*'UK JRC'!H64)+('UK JRC'!H43*'UK JRC'!H77))/('UK JRC'!H22+'UK JRC'!H43)</f>
        <v>7.646066202185783</v>
      </c>
      <c r="AY82" s="9">
        <f>(('UK JRC'!I22*'UK JRC'!I64)+('UK JRC'!I43*'UK JRC'!I77))/('UK JRC'!I22+'UK JRC'!I43)</f>
        <v>7.5950519439251893</v>
      </c>
      <c r="AZ82" s="9">
        <f>(('UK JRC'!J22*'UK JRC'!J64)+('UK JRC'!J43*'UK JRC'!J77))/('UK JRC'!J22+'UK JRC'!J43)</f>
        <v>7.4927838781350626</v>
      </c>
      <c r="BA82" s="9">
        <f>(('UK JRC'!K22*'UK JRC'!K64)+('UK JRC'!K43*'UK JRC'!K77))/('UK JRC'!K22+'UK JRC'!K43)</f>
        <v>7.3917909845769847</v>
      </c>
      <c r="BB82" s="9">
        <f>(('UK JRC'!L22*'UK JRC'!L64)+('UK JRC'!L43*'UK JRC'!L77))/('UK JRC'!L22+'UK JRC'!L43)</f>
        <v>7.3224442536295813</v>
      </c>
      <c r="BC82" s="9">
        <f>(('UK JRC'!M22*'UK JRC'!M64)+('UK JRC'!M43*'UK JRC'!M77))/('UK JRC'!M22+'UK JRC'!M43)</f>
        <v>7.2462137312881216</v>
      </c>
      <c r="BD82" s="9">
        <f>(('UK JRC'!N22*'UK JRC'!N64)+('UK JRC'!N43*'UK JRC'!N77))/('UK JRC'!N22+'UK JRC'!N43)</f>
        <v>7.1699474073111533</v>
      </c>
      <c r="BE82" s="9">
        <f>(('UK JRC'!O22*'UK JRC'!O64)+('UK JRC'!O43*'UK JRC'!O77))/('UK JRC'!O22+'UK JRC'!O43)</f>
        <v>7.1300413033508852</v>
      </c>
      <c r="BF82" s="9">
        <f>(('UK JRC'!P22*'UK JRC'!P64)+('UK JRC'!P43*'UK JRC'!P77))/('UK JRC'!P22+'UK JRC'!P43)</f>
        <v>7.0406474017880871</v>
      </c>
      <c r="BG82" s="9">
        <f>(('UK JRC'!Q22*'UK JRC'!Q64)+('UK JRC'!Q43*'UK JRC'!Q77))/('UK JRC'!Q22+'UK JRC'!Q43)</f>
        <v>6.9150694096112311</v>
      </c>
      <c r="BH82" s="9"/>
    </row>
    <row r="83" spans="1:60">
      <c r="A83" t="s">
        <v>557</v>
      </c>
      <c r="B83" t="s">
        <v>599</v>
      </c>
      <c r="C83" t="s">
        <v>550</v>
      </c>
      <c r="AR83" s="9">
        <f>(('EU-28 JRC'!B$22*'EU-28 JRC'!B$64)+('EU-28 JRC'!B$43*'EU-28 JRC'!B$79))/('EU-28 JRC'!B$22+'EU-28 JRC'!B$43)</f>
        <v>7.6360163116864639</v>
      </c>
      <c r="AS83" s="9">
        <f>(('EU-28 JRC'!C$22*'EU-28 JRC'!C$64)+('EU-28 JRC'!C$43*'EU-28 JRC'!C$79))/('EU-28 JRC'!C$22+'EU-28 JRC'!C$43)</f>
        <v>7.5286819234039246</v>
      </c>
      <c r="AT83" s="9">
        <f>(('EU-28 JRC'!D$22*'EU-28 JRC'!D$64)+('EU-28 JRC'!D$43*'EU-28 JRC'!D$79))/('EU-28 JRC'!D$22+'EU-28 JRC'!D$43)</f>
        <v>7.5329810339435159</v>
      </c>
      <c r="AU83" s="9">
        <f>(('EU-28 JRC'!E$22*'EU-28 JRC'!E$64)+('EU-28 JRC'!E$43*'EU-28 JRC'!E$79))/('EU-28 JRC'!E$22+'EU-28 JRC'!E$43)</f>
        <v>7.51110671933366</v>
      </c>
      <c r="AV83" s="9">
        <f>(('EU-28 JRC'!F$22*'EU-28 JRC'!F$64)+('EU-28 JRC'!F$43*'EU-28 JRC'!F$79))/('EU-28 JRC'!F$22+'EU-28 JRC'!F$43)</f>
        <v>7.4847085958360324</v>
      </c>
      <c r="AW83" s="9">
        <f>(('EU-28 JRC'!G$22*'EU-28 JRC'!G$64)+('EU-28 JRC'!G$43*'EU-28 JRC'!G$79))/('EU-28 JRC'!G$22+'EU-28 JRC'!G$43)</f>
        <v>7.4786385588115358</v>
      </c>
      <c r="AX83" s="9">
        <f>(('EU-28 JRC'!H$22*'EU-28 JRC'!H$64)+('EU-28 JRC'!H$43*'EU-28 JRC'!H$79))/('EU-28 JRC'!H$22+'EU-28 JRC'!H$43)</f>
        <v>7.4994854079086481</v>
      </c>
      <c r="AY83" s="9">
        <f>(('EU-28 JRC'!I$22*'EU-28 JRC'!I$64)+('EU-28 JRC'!I$43*'EU-28 JRC'!I$79))/('EU-28 JRC'!I$22+'EU-28 JRC'!I$43)</f>
        <v>7.4568749906258489</v>
      </c>
      <c r="AZ83" s="9">
        <f>(('EU-28 JRC'!J$22*'EU-28 JRC'!J$64)+('EU-28 JRC'!J$43*'EU-28 JRC'!J$79))/('EU-28 JRC'!J$22+'EU-28 JRC'!J$43)</f>
        <v>7.336674499629062</v>
      </c>
      <c r="BA83" s="9">
        <f>(('EU-28 JRC'!K$22*'EU-28 JRC'!K$64)+('EU-28 JRC'!K$43*'EU-28 JRC'!K$79))/('EU-28 JRC'!K$22+'EU-28 JRC'!K$43)</f>
        <v>7.1989924305154336</v>
      </c>
      <c r="BB83" s="9">
        <f>(('EU-28 JRC'!L$22*'EU-28 JRC'!L$64)+('EU-28 JRC'!L$43*'EU-28 JRC'!L$79))/('EU-28 JRC'!L$22+'EU-28 JRC'!L$43)</f>
        <v>7.123273529794365</v>
      </c>
      <c r="BC83" s="9">
        <f>(('EU-28 JRC'!M$22*'EU-28 JRC'!M$64)+('EU-28 JRC'!M$43*'EU-28 JRC'!M$79))/('EU-28 JRC'!M$22+'EU-28 JRC'!M$43)</f>
        <v>7.0590055054785932</v>
      </c>
      <c r="BD83" s="9">
        <f>(('EU-28 JRC'!N$22*'EU-28 JRC'!N$64)+('EU-28 JRC'!N$43*'EU-28 JRC'!N$79))/('EU-28 JRC'!N$22+'EU-28 JRC'!N$43)</f>
        <v>6.9979709938336416</v>
      </c>
      <c r="BE83" s="9">
        <f>(('EU-28 JRC'!O$22*'EU-28 JRC'!O$64)+('EU-28 JRC'!O$43*'EU-28 JRC'!O$79))/('EU-28 JRC'!O$22+'EU-28 JRC'!O$43)</f>
        <v>6.9104101380160108</v>
      </c>
      <c r="BF83" s="9">
        <f>(('EU-28 JRC'!P$22*'EU-28 JRC'!P$64)+('EU-28 JRC'!P$43*'EU-28 JRC'!P$79))/('EU-28 JRC'!P$22+'EU-28 JRC'!P$43)</f>
        <v>6.8528029863723932</v>
      </c>
      <c r="BG83" s="9">
        <f>(('EU-28 JRC'!Q$22*'EU-28 JRC'!Q$64)+('EU-28 JRC'!Q$43*'EU-28 JRC'!Q$79))/('EU-28 JRC'!Q$22+'EU-28 JRC'!Q$43)</f>
        <v>6.7553463212566189</v>
      </c>
      <c r="BH83" s="9"/>
    </row>
    <row r="84" spans="1:60">
      <c r="A84" t="s">
        <v>559</v>
      </c>
      <c r="B84" t="s">
        <v>599</v>
      </c>
      <c r="C84" t="s">
        <v>550</v>
      </c>
      <c r="AR84" s="9">
        <f>(('GER JRC'!B$22*'GER JRC'!B$64)+('GER JRC'!B$43*'GER JRC'!B$79))/('GER JRC'!B$22+'GER JRC'!B$43)</f>
        <v>7.301999112699562</v>
      </c>
      <c r="AS84" s="9">
        <f>(('GER JRC'!C$22*'GER JRC'!C$64)+('GER JRC'!C$43*'GER JRC'!C$79))/('GER JRC'!C$22+'GER JRC'!C$43)</f>
        <v>7.2636240233124649</v>
      </c>
      <c r="AT84" s="9">
        <f>(('GER JRC'!D$22*'GER JRC'!D$64)+('GER JRC'!D$43*'GER JRC'!D$79))/('GER JRC'!D$22+'GER JRC'!D$43)</f>
        <v>7.2718742570053978</v>
      </c>
      <c r="AU84" s="9">
        <f>(('GER JRC'!E$22*'GER JRC'!E$64)+('GER JRC'!E$43*'GER JRC'!E$79))/('GER JRC'!E$22+'GER JRC'!E$43)</f>
        <v>7.2785596328908966</v>
      </c>
      <c r="AV84" s="9">
        <f>(('GER JRC'!F$22*'GER JRC'!F$64)+('GER JRC'!F$43*'GER JRC'!F$79))/('GER JRC'!F$22+'GER JRC'!F$43)</f>
        <v>7.2822612795830732</v>
      </c>
      <c r="AW84" s="9">
        <f>(('GER JRC'!G$22*'GER JRC'!G$64)+('GER JRC'!G$43*'GER JRC'!G$79))/('GER JRC'!G$22+'GER JRC'!G$43)</f>
        <v>7.2914066211978454</v>
      </c>
      <c r="AX84" s="9">
        <f>(('GER JRC'!H$22*'GER JRC'!H$64)+('GER JRC'!H$43*'GER JRC'!H$79))/('GER JRC'!H$22+'GER JRC'!H$43)</f>
        <v>7.2905872321728218</v>
      </c>
      <c r="AY84" s="9">
        <f>(('GER JRC'!I$22*'GER JRC'!I$64)+('GER JRC'!I$43*'GER JRC'!I$79))/('GER JRC'!I$22+'GER JRC'!I$43)</f>
        <v>7.290366731067297</v>
      </c>
      <c r="AZ84" s="9">
        <f>(('GER JRC'!J$22*'GER JRC'!J$64)+('GER JRC'!J$43*'GER JRC'!J$79))/('GER JRC'!J$22+'GER JRC'!J$43)</f>
        <v>7.2596278223598851</v>
      </c>
      <c r="BA84" s="9">
        <f>(('GER JRC'!K$22*'GER JRC'!K$64)+('GER JRC'!K$43*'GER JRC'!K$79))/('GER JRC'!K$22+'GER JRC'!K$43)</f>
        <v>7.1964833396803742</v>
      </c>
      <c r="BB84" s="9">
        <f>(('GER JRC'!L$22*'GER JRC'!L$64)+('GER JRC'!L$43*'GER JRC'!L$79))/('GER JRC'!L$22+'GER JRC'!L$43)</f>
        <v>7.1664944404556454</v>
      </c>
      <c r="BC84" s="9">
        <f>(('GER JRC'!M$22*'GER JRC'!M$64)+('GER JRC'!M$43*'GER JRC'!M$79))/('GER JRC'!M$22+'GER JRC'!M$43)</f>
        <v>7.1180030506976921</v>
      </c>
      <c r="BD84" s="9">
        <f>(('GER JRC'!N$22*'GER JRC'!N$64)+('GER JRC'!N$43*'GER JRC'!N$79))/('GER JRC'!N$22+'GER JRC'!N$43)</f>
        <v>7.0626603914170518</v>
      </c>
      <c r="BE84" s="9">
        <f>(('GER JRC'!O$22*'GER JRC'!O$64)+('GER JRC'!O$43*'GER JRC'!O$79))/('GER JRC'!O$22+'GER JRC'!O$43)</f>
        <v>7.0102746238030598</v>
      </c>
      <c r="BF84" s="9">
        <f>(('GER JRC'!P$22*'GER JRC'!P$64)+('GER JRC'!P$43*'GER JRC'!P$79))/('GER JRC'!P$22+'GER JRC'!P$43)</f>
        <v>6.9524820310014332</v>
      </c>
      <c r="BG84" s="9">
        <f>(('GER JRC'!Q$22*'GER JRC'!Q$64)+('GER JRC'!Q$43*'GER JRC'!Q$79))/('GER JRC'!Q$22+'GER JRC'!Q$43)</f>
        <v>6.8981489157263827</v>
      </c>
      <c r="BH84" s="9"/>
    </row>
    <row r="85" spans="1:60">
      <c r="AR85" s="9"/>
      <c r="AS85" s="9"/>
      <c r="AT85" s="9"/>
      <c r="AU85" s="9"/>
      <c r="AV85" s="9"/>
      <c r="AW85" s="9"/>
      <c r="AX85" s="9"/>
      <c r="AY85" s="9"/>
      <c r="AZ85" s="9"/>
      <c r="BA85" s="9"/>
      <c r="BB85" s="9"/>
      <c r="BC85" s="9"/>
      <c r="BD85" s="9"/>
      <c r="BE85" s="9"/>
      <c r="BF85" s="9"/>
      <c r="BG85" s="9"/>
      <c r="BH85" s="9"/>
    </row>
    <row r="87" spans="1:60">
      <c r="A87" t="s">
        <v>551</v>
      </c>
      <c r="B87">
        <v>1</v>
      </c>
      <c r="C87" t="s">
        <v>552</v>
      </c>
    </row>
    <row r="88" spans="1:60">
      <c r="B88">
        <v>0.73699999999999999</v>
      </c>
      <c r="C88" t="s">
        <v>553</v>
      </c>
    </row>
  </sheetData>
  <mergeCells count="1">
    <mergeCell ref="A43:A48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theme="9" tint="0.39997558519241921"/>
  </sheetPr>
  <dimension ref="A1:BL441"/>
  <sheetViews>
    <sheetView topLeftCell="A134" zoomScale="80" zoomScaleNormal="80" workbookViewId="0">
      <selection activeCell="C156" sqref="C156"/>
    </sheetView>
  </sheetViews>
  <sheetFormatPr defaultColWidth="9.109375" defaultRowHeight="14.4"/>
  <cols>
    <col min="1" max="1" width="15.5546875" style="38" customWidth="1"/>
    <col min="2" max="2" width="9.109375" style="38"/>
    <col min="3" max="3" width="59.5546875" style="38" customWidth="1"/>
    <col min="4" max="4" width="9" style="38" customWidth="1"/>
    <col min="5" max="13" width="9.109375" style="38" customWidth="1"/>
    <col min="14" max="14" width="19.6640625" style="38" bestFit="1" customWidth="1"/>
    <col min="15" max="54" width="9.109375" style="38"/>
    <col min="55" max="55" width="9.109375" style="50"/>
    <col min="56" max="62" width="9.109375" style="38"/>
    <col min="63" max="63" width="9.109375" style="53"/>
    <col min="64" max="16384" width="9.109375" style="38"/>
  </cols>
  <sheetData>
    <row r="1" spans="1:40">
      <c r="A1" s="37" t="s">
        <v>224</v>
      </c>
      <c r="I1" s="39" t="s">
        <v>225</v>
      </c>
      <c r="J1" s="39" t="s">
        <v>226</v>
      </c>
      <c r="K1" s="39">
        <v>131.9</v>
      </c>
      <c r="L1" s="39" t="s">
        <v>227</v>
      </c>
      <c r="M1" s="39"/>
    </row>
    <row r="2" spans="1:40">
      <c r="A2" s="40" t="s">
        <v>228</v>
      </c>
      <c r="I2" s="39"/>
      <c r="J2" s="41" t="s">
        <v>229</v>
      </c>
      <c r="K2" s="39"/>
      <c r="L2" s="39"/>
      <c r="M2" s="39"/>
      <c r="Y2" s="42" t="s">
        <v>230</v>
      </c>
      <c r="Z2" s="42"/>
      <c r="AA2" s="42"/>
      <c r="AB2" s="42"/>
      <c r="AC2" s="42"/>
      <c r="AD2" s="42"/>
      <c r="AE2" s="42"/>
      <c r="AF2" s="42"/>
      <c r="AG2" s="42"/>
      <c r="AH2" s="42"/>
      <c r="AI2" s="42"/>
      <c r="AJ2" s="42"/>
      <c r="AK2" s="42"/>
      <c r="AL2" s="42"/>
      <c r="AM2" s="42"/>
      <c r="AN2" s="42"/>
    </row>
    <row r="3" spans="1:40">
      <c r="A3" s="40" t="s">
        <v>231</v>
      </c>
      <c r="I3" s="39"/>
      <c r="J3" s="43" t="s">
        <v>232</v>
      </c>
      <c r="K3" s="39"/>
      <c r="L3" s="39"/>
      <c r="M3" s="39"/>
      <c r="Y3" s="42"/>
      <c r="Z3" s="42"/>
      <c r="AA3" s="42"/>
      <c r="AB3" s="42"/>
      <c r="AC3" s="42"/>
      <c r="AD3" s="42"/>
      <c r="AE3" s="42"/>
      <c r="AF3" s="42"/>
      <c r="AG3" s="42"/>
      <c r="AH3" s="42"/>
      <c r="AI3" s="42"/>
      <c r="AJ3" s="42"/>
      <c r="AK3" s="42"/>
      <c r="AL3" s="42"/>
      <c r="AM3" s="42"/>
      <c r="AN3" s="42"/>
    </row>
    <row r="4" spans="1:40">
      <c r="A4" s="44"/>
      <c r="I4" s="39"/>
      <c r="J4" s="39">
        <v>131.9</v>
      </c>
      <c r="K4" s="39" t="s">
        <v>233</v>
      </c>
      <c r="L4" s="39">
        <v>3.1503773765199999E-3</v>
      </c>
      <c r="M4" s="39" t="s">
        <v>234</v>
      </c>
      <c r="Y4" s="42"/>
      <c r="Z4" s="42"/>
      <c r="AA4" s="45" t="s">
        <v>235</v>
      </c>
      <c r="AB4" s="42"/>
      <c r="AC4" s="42"/>
      <c r="AD4" s="42"/>
      <c r="AE4" s="42"/>
      <c r="AF4" s="42"/>
      <c r="AG4" s="42"/>
      <c r="AH4" s="45" t="s">
        <v>236</v>
      </c>
      <c r="AI4" s="42"/>
      <c r="AJ4" s="42"/>
      <c r="AK4" s="42"/>
      <c r="AL4" s="42"/>
      <c r="AM4" s="42"/>
      <c r="AN4" s="42"/>
    </row>
    <row r="5" spans="1:40">
      <c r="A5" s="44"/>
      <c r="I5" s="39"/>
      <c r="J5" s="39">
        <f>1/L4</f>
        <v>317.4222896130081</v>
      </c>
      <c r="K5" s="39" t="s">
        <v>237</v>
      </c>
      <c r="L5" s="39">
        <v>1</v>
      </c>
      <c r="M5" s="39" t="s">
        <v>234</v>
      </c>
      <c r="N5" s="38">
        <f>J5*N15</f>
        <v>264.30923361943263</v>
      </c>
      <c r="O5" s="46" t="s">
        <v>238</v>
      </c>
      <c r="P5" s="38">
        <v>1</v>
      </c>
      <c r="Q5" s="46" t="s">
        <v>234</v>
      </c>
      <c r="Y5" s="42"/>
      <c r="Z5" s="42"/>
      <c r="AA5" s="42"/>
      <c r="AB5" s="42"/>
      <c r="AC5" s="42"/>
      <c r="AD5" s="42"/>
      <c r="AE5" s="42"/>
      <c r="AF5" s="42"/>
      <c r="AG5" s="42"/>
      <c r="AH5" s="42"/>
      <c r="AI5" s="42"/>
      <c r="AJ5" s="42"/>
      <c r="AK5" s="42"/>
      <c r="AL5" s="42"/>
      <c r="AM5" s="42"/>
      <c r="AN5" s="42"/>
    </row>
    <row r="6" spans="1:40">
      <c r="A6" s="40"/>
      <c r="I6" s="39"/>
      <c r="J6" s="39"/>
      <c r="K6" s="39"/>
      <c r="L6" s="39"/>
      <c r="M6" s="39"/>
      <c r="Y6" s="42"/>
      <c r="Z6" s="42"/>
      <c r="AA6" s="42"/>
      <c r="AB6" s="42"/>
      <c r="AC6" s="42"/>
      <c r="AD6" s="42"/>
      <c r="AE6" s="42"/>
      <c r="AF6" s="42"/>
      <c r="AG6" s="42"/>
      <c r="AH6" s="42"/>
      <c r="AI6" s="42"/>
      <c r="AJ6" s="42"/>
      <c r="AK6" s="42"/>
      <c r="AL6" s="42"/>
      <c r="AM6" s="42"/>
      <c r="AN6" s="42"/>
    </row>
    <row r="7" spans="1:40">
      <c r="A7" s="37" t="s">
        <v>239</v>
      </c>
      <c r="I7" s="39" t="s">
        <v>240</v>
      </c>
      <c r="J7" s="39" t="s">
        <v>241</v>
      </c>
      <c r="K7" s="39">
        <v>146.30000000000001</v>
      </c>
      <c r="L7" s="39" t="s">
        <v>227</v>
      </c>
      <c r="M7" s="39"/>
      <c r="Y7" s="42"/>
      <c r="Z7" s="42"/>
      <c r="AA7" s="42"/>
      <c r="AB7" s="42"/>
      <c r="AC7" s="42"/>
      <c r="AD7" s="42"/>
      <c r="AE7" s="42"/>
      <c r="AF7" s="42"/>
      <c r="AG7" s="42"/>
      <c r="AH7" s="42"/>
      <c r="AI7" s="42"/>
      <c r="AJ7" s="42"/>
      <c r="AK7" s="42"/>
      <c r="AL7" s="42"/>
      <c r="AM7" s="42"/>
      <c r="AN7" s="42"/>
    </row>
    <row r="8" spans="1:40">
      <c r="A8" s="47">
        <v>1</v>
      </c>
      <c r="B8" s="45" t="s">
        <v>242</v>
      </c>
      <c r="C8" s="42"/>
      <c r="I8" s="39"/>
      <c r="J8" s="39">
        <v>146.30000000000001</v>
      </c>
      <c r="K8" s="39" t="s">
        <v>233</v>
      </c>
      <c r="L8" s="39">
        <f>J8/J4*L4</f>
        <v>3.494315467663957E-3</v>
      </c>
      <c r="M8" s="39" t="s">
        <v>234</v>
      </c>
      <c r="Y8" s="42"/>
      <c r="Z8" s="42"/>
      <c r="AA8" s="42"/>
      <c r="AB8" s="42"/>
      <c r="AC8" s="42"/>
      <c r="AD8" s="42"/>
      <c r="AE8" s="42"/>
      <c r="AF8" s="42"/>
      <c r="AG8" s="42"/>
      <c r="AH8" s="42"/>
      <c r="AI8" s="42"/>
      <c r="AJ8" s="42"/>
      <c r="AK8" s="42"/>
      <c r="AL8" s="42"/>
      <c r="AM8" s="42"/>
      <c r="AN8" s="42"/>
    </row>
    <row r="9" spans="1:40">
      <c r="A9" s="48">
        <v>2</v>
      </c>
      <c r="B9" s="45" t="s">
        <v>243</v>
      </c>
      <c r="C9" s="42"/>
      <c r="I9" s="39"/>
      <c r="J9" s="39">
        <f>1/L8</f>
        <v>286.1790840735186</v>
      </c>
      <c r="K9" s="39" t="s">
        <v>237</v>
      </c>
      <c r="L9" s="39" t="s">
        <v>244</v>
      </c>
      <c r="M9" s="39"/>
      <c r="N9" s="38">
        <f>J9*N15</f>
        <v>238.29383400138872</v>
      </c>
      <c r="O9" s="46" t="s">
        <v>238</v>
      </c>
      <c r="P9" s="38">
        <v>1</v>
      </c>
      <c r="Q9" s="46" t="s">
        <v>234</v>
      </c>
      <c r="Y9" s="42"/>
      <c r="Z9" s="42"/>
      <c r="AA9" s="42"/>
      <c r="AB9" s="42"/>
      <c r="AC9" s="42"/>
      <c r="AD9" s="42"/>
      <c r="AE9" s="42"/>
      <c r="AF9" s="42"/>
      <c r="AG9" s="42"/>
      <c r="AH9" s="42"/>
      <c r="AI9" s="42"/>
      <c r="AJ9" s="42"/>
      <c r="AK9" s="42"/>
      <c r="AL9" s="42"/>
      <c r="AM9" s="42"/>
      <c r="AN9" s="42"/>
    </row>
    <row r="10" spans="1:40">
      <c r="A10" s="47">
        <v>3</v>
      </c>
      <c r="B10" s="45" t="s">
        <v>245</v>
      </c>
      <c r="C10" s="42"/>
      <c r="Y10" s="42"/>
      <c r="Z10" s="42"/>
      <c r="AA10" s="42"/>
      <c r="AB10" s="42"/>
      <c r="AC10" s="42"/>
      <c r="AD10" s="42"/>
      <c r="AE10" s="42"/>
      <c r="AF10" s="42"/>
      <c r="AG10" s="42"/>
      <c r="AH10" s="42"/>
      <c r="AI10" s="42"/>
      <c r="AJ10" s="42"/>
      <c r="AK10" s="42"/>
      <c r="AL10" s="42"/>
      <c r="AM10" s="42"/>
      <c r="AN10" s="42"/>
    </row>
    <row r="11" spans="1:40" ht="15.6">
      <c r="A11" s="48">
        <v>4</v>
      </c>
      <c r="B11" s="45" t="s">
        <v>246</v>
      </c>
      <c r="C11" s="42"/>
      <c r="I11" s="49" t="s">
        <v>247</v>
      </c>
      <c r="J11" s="50"/>
      <c r="K11" s="50"/>
      <c r="L11" s="50"/>
      <c r="M11" s="50"/>
      <c r="N11" s="50"/>
      <c r="O11" s="50"/>
      <c r="P11" s="50"/>
      <c r="Q11" s="50"/>
      <c r="R11" s="50"/>
      <c r="S11" s="50"/>
      <c r="T11" s="50"/>
      <c r="U11" s="50"/>
      <c r="Y11" s="42"/>
      <c r="Z11" s="42"/>
      <c r="AA11" s="42"/>
      <c r="AB11" s="42"/>
      <c r="AC11" s="42"/>
      <c r="AD11" s="42"/>
      <c r="AE11" s="42"/>
      <c r="AF11" s="42"/>
      <c r="AG11" s="42"/>
      <c r="AH11" s="42"/>
      <c r="AI11" s="42"/>
      <c r="AJ11" s="42"/>
      <c r="AK11" s="42"/>
      <c r="AL11" s="42"/>
      <c r="AM11" s="42"/>
      <c r="AN11" s="42"/>
    </row>
    <row r="12" spans="1:40">
      <c r="A12" s="48">
        <v>5</v>
      </c>
      <c r="B12" s="45" t="s">
        <v>248</v>
      </c>
      <c r="C12" s="42"/>
      <c r="I12" s="38" t="s">
        <v>249</v>
      </c>
      <c r="Y12" s="42"/>
      <c r="Z12" s="42"/>
      <c r="AA12" s="42"/>
      <c r="AB12" s="42"/>
      <c r="AC12" s="42"/>
      <c r="AD12" s="42"/>
      <c r="AE12" s="42"/>
      <c r="AF12" s="42"/>
      <c r="AG12" s="42"/>
      <c r="AH12" s="42"/>
      <c r="AI12" s="42"/>
      <c r="AJ12" s="42"/>
      <c r="AK12" s="42"/>
      <c r="AL12" s="42"/>
      <c r="AM12" s="42"/>
      <c r="AN12" s="42"/>
    </row>
    <row r="13" spans="1:40">
      <c r="A13" s="48">
        <v>6</v>
      </c>
      <c r="B13" s="45" t="s">
        <v>250</v>
      </c>
      <c r="C13" s="42"/>
      <c r="I13" s="38" t="s">
        <v>251</v>
      </c>
      <c r="Y13" s="42"/>
      <c r="Z13" s="42"/>
      <c r="AA13" s="42"/>
      <c r="AB13" s="42"/>
      <c r="AC13" s="42"/>
      <c r="AD13" s="42"/>
      <c r="AE13" s="42"/>
      <c r="AF13" s="42"/>
      <c r="AG13" s="42"/>
      <c r="AH13" s="42"/>
      <c r="AI13" s="42"/>
      <c r="AJ13" s="42"/>
      <c r="AK13" s="42"/>
      <c r="AL13" s="42"/>
      <c r="AM13" s="42"/>
      <c r="AN13" s="42"/>
    </row>
    <row r="14" spans="1:40">
      <c r="A14" s="48">
        <v>7</v>
      </c>
      <c r="B14" s="45" t="s">
        <v>252</v>
      </c>
      <c r="C14" s="42"/>
      <c r="Y14" s="42"/>
      <c r="Z14" s="42"/>
      <c r="AA14" s="42"/>
      <c r="AB14" s="42"/>
      <c r="AC14" s="42"/>
      <c r="AD14" s="42"/>
      <c r="AE14" s="42"/>
      <c r="AF14" s="42"/>
      <c r="AG14" s="42"/>
      <c r="AH14" s="42"/>
      <c r="AI14" s="42"/>
      <c r="AJ14" s="42"/>
      <c r="AK14" s="42"/>
      <c r="AL14" s="42"/>
      <c r="AM14" s="42"/>
      <c r="AN14" s="42"/>
    </row>
    <row r="15" spans="1:40">
      <c r="A15" s="51" t="s">
        <v>253</v>
      </c>
      <c r="K15" s="52">
        <v>1</v>
      </c>
      <c r="L15" s="46" t="s">
        <v>254</v>
      </c>
      <c r="M15" s="46" t="s">
        <v>255</v>
      </c>
      <c r="N15" s="38">
        <v>0.83267382999999995</v>
      </c>
      <c r="O15" s="46" t="s">
        <v>256</v>
      </c>
      <c r="Y15" s="42"/>
      <c r="Z15" s="42"/>
      <c r="AA15" s="42"/>
      <c r="AB15" s="42"/>
      <c r="AC15" s="42"/>
      <c r="AD15" s="42"/>
      <c r="AE15" s="42"/>
      <c r="AF15" s="42"/>
      <c r="AG15" s="42"/>
      <c r="AH15" s="42"/>
      <c r="AI15" s="42"/>
      <c r="AJ15" s="42"/>
      <c r="AK15" s="42"/>
      <c r="AL15" s="42"/>
      <c r="AM15" s="42"/>
      <c r="AN15" s="42"/>
    </row>
    <row r="16" spans="1:40">
      <c r="A16" s="46" t="s">
        <v>257</v>
      </c>
      <c r="B16" s="46" t="s">
        <v>258</v>
      </c>
      <c r="Y16" s="42"/>
      <c r="Z16" s="42"/>
      <c r="AA16" s="42"/>
      <c r="AB16" s="42"/>
      <c r="AC16" s="42"/>
      <c r="AD16" s="42"/>
      <c r="AE16" s="42"/>
      <c r="AF16" s="42"/>
      <c r="AG16" s="42"/>
      <c r="AH16" s="42"/>
      <c r="AI16" s="42"/>
      <c r="AJ16" s="42"/>
      <c r="AK16" s="42"/>
      <c r="AL16" s="42"/>
      <c r="AM16" s="42"/>
      <c r="AN16" s="42"/>
    </row>
    <row r="17" spans="1:63">
      <c r="A17" s="46" t="s">
        <v>259</v>
      </c>
      <c r="B17" s="46" t="s">
        <v>260</v>
      </c>
      <c r="K17" s="46" t="s">
        <v>261</v>
      </c>
      <c r="N17" s="38">
        <f>1/N15</f>
        <v>1.2009504369796276</v>
      </c>
      <c r="O17" s="46" t="s">
        <v>262</v>
      </c>
      <c r="Y17" s="42"/>
      <c r="Z17" s="42"/>
      <c r="AA17" s="42"/>
      <c r="AB17" s="42"/>
      <c r="AC17" s="42"/>
      <c r="AD17" s="42"/>
      <c r="AE17" s="42"/>
      <c r="AF17" s="42"/>
      <c r="AG17" s="42"/>
      <c r="AH17" s="42"/>
      <c r="AI17" s="42"/>
      <c r="AJ17" s="42"/>
      <c r="AK17" s="42"/>
      <c r="AL17" s="42"/>
      <c r="AM17" s="42"/>
      <c r="AN17" s="42"/>
    </row>
    <row r="18" spans="1:63" ht="15.6">
      <c r="A18" s="54" t="s">
        <v>263</v>
      </c>
      <c r="B18" s="54" t="s">
        <v>264</v>
      </c>
      <c r="F18" s="51" t="s">
        <v>265</v>
      </c>
      <c r="J18" s="55" t="s">
        <v>266</v>
      </c>
      <c r="Y18" s="42"/>
      <c r="Z18" s="42"/>
      <c r="AA18" s="42"/>
      <c r="AB18" s="42"/>
      <c r="AC18" s="42"/>
      <c r="AD18" s="42"/>
      <c r="AE18" s="42"/>
      <c r="AF18" s="42"/>
      <c r="AG18" s="42"/>
      <c r="AH18" s="42"/>
      <c r="AI18" s="42"/>
      <c r="AJ18" s="42"/>
      <c r="AK18" s="42"/>
      <c r="AL18" s="42"/>
      <c r="AM18" s="42"/>
      <c r="AN18" s="42"/>
    </row>
    <row r="19" spans="1:63">
      <c r="B19" s="46" t="s">
        <v>267</v>
      </c>
      <c r="F19" s="46"/>
      <c r="Y19" s="42"/>
      <c r="Z19" s="42"/>
      <c r="AA19" s="42"/>
      <c r="AB19" s="42"/>
      <c r="AC19" s="42"/>
      <c r="AD19" s="42"/>
      <c r="AE19" s="42"/>
      <c r="AF19" s="42"/>
      <c r="AG19" s="42"/>
      <c r="AH19" s="42"/>
      <c r="AI19" s="42"/>
      <c r="AJ19" s="42"/>
      <c r="AK19" s="42"/>
      <c r="AL19" s="42"/>
      <c r="AM19" s="42"/>
      <c r="AN19" s="42"/>
    </row>
    <row r="20" spans="1:63" ht="15.6">
      <c r="B20" s="46" t="s">
        <v>268</v>
      </c>
      <c r="F20" s="311"/>
      <c r="G20" s="311"/>
      <c r="H20" s="311"/>
      <c r="I20" s="311"/>
      <c r="J20" s="311"/>
      <c r="K20" s="311"/>
      <c r="L20" s="311"/>
      <c r="M20" s="311"/>
      <c r="N20" s="311"/>
      <c r="O20" s="311"/>
      <c r="P20" s="311"/>
      <c r="Q20" s="311"/>
      <c r="R20" s="311"/>
      <c r="S20" s="311"/>
      <c r="Y20" s="42"/>
      <c r="Z20" s="42"/>
      <c r="AA20" s="42"/>
      <c r="AB20" s="42"/>
      <c r="AC20" s="42"/>
      <c r="AD20" s="42"/>
      <c r="AE20" s="42"/>
      <c r="AF20" s="42"/>
      <c r="AG20" s="42"/>
      <c r="AH20" s="42"/>
      <c r="AI20" s="42"/>
      <c r="AJ20" s="42"/>
      <c r="AK20" s="42"/>
      <c r="AL20" s="42"/>
      <c r="AM20" s="42"/>
      <c r="AN20" s="42"/>
    </row>
    <row r="21" spans="1:63">
      <c r="F21" s="56"/>
      <c r="H21" s="57"/>
      <c r="I21" s="58"/>
      <c r="J21" s="57"/>
      <c r="K21" s="58"/>
      <c r="L21" s="58"/>
      <c r="M21" s="59"/>
      <c r="N21" s="57"/>
      <c r="O21" s="59"/>
      <c r="P21" s="57"/>
      <c r="Q21" s="60"/>
      <c r="Y21" s="42"/>
      <c r="Z21" s="42"/>
      <c r="AA21" s="42"/>
      <c r="AB21" s="42"/>
      <c r="AC21" s="42"/>
      <c r="AD21" s="42"/>
      <c r="AE21" s="42"/>
      <c r="AF21" s="42"/>
      <c r="AG21" s="42"/>
      <c r="AH21" s="42"/>
      <c r="AI21" s="42"/>
      <c r="AJ21" s="42"/>
      <c r="AK21" s="42"/>
      <c r="AL21" s="42"/>
      <c r="AM21" s="42"/>
      <c r="AN21" s="42"/>
    </row>
    <row r="22" spans="1:63">
      <c r="H22" s="61"/>
      <c r="I22" s="62"/>
      <c r="J22" s="61"/>
      <c r="K22" s="62"/>
      <c r="L22" s="62"/>
      <c r="M22" s="63"/>
      <c r="N22" s="61"/>
      <c r="O22" s="63"/>
      <c r="P22" s="61"/>
      <c r="Q22" s="64"/>
      <c r="Y22" s="42"/>
      <c r="Z22" s="42"/>
      <c r="AA22" s="42"/>
      <c r="AB22" s="42"/>
      <c r="AC22" s="42"/>
      <c r="AD22" s="42"/>
      <c r="AE22" s="42"/>
      <c r="AF22" s="42"/>
      <c r="AG22" s="42"/>
      <c r="AH22" s="42"/>
      <c r="AI22" s="42"/>
      <c r="AJ22" s="42"/>
      <c r="AK22" s="42"/>
      <c r="AL22" s="42"/>
      <c r="AM22" s="42"/>
      <c r="AN22" s="42"/>
    </row>
    <row r="23" spans="1:63">
      <c r="A23" s="51" t="s">
        <v>269</v>
      </c>
    </row>
    <row r="24" spans="1:63" s="51" customFormat="1">
      <c r="D24" s="51">
        <v>1960</v>
      </c>
      <c r="E24" s="51">
        <v>1961</v>
      </c>
      <c r="F24" s="51">
        <v>1962</v>
      </c>
      <c r="G24" s="51">
        <v>1963</v>
      </c>
      <c r="H24" s="51">
        <v>1964</v>
      </c>
      <c r="I24" s="51">
        <v>1965</v>
      </c>
      <c r="J24" s="51">
        <v>1966</v>
      </c>
      <c r="K24" s="51">
        <v>1967</v>
      </c>
      <c r="L24" s="51">
        <v>1968</v>
      </c>
      <c r="M24" s="51">
        <v>1969</v>
      </c>
      <c r="N24" s="51">
        <v>1970</v>
      </c>
      <c r="O24" s="51">
        <v>1971</v>
      </c>
      <c r="P24" s="51">
        <v>1972</v>
      </c>
      <c r="Q24" s="51">
        <v>1973</v>
      </c>
      <c r="R24" s="51">
        <v>1974</v>
      </c>
      <c r="S24" s="51">
        <v>1975</v>
      </c>
      <c r="T24" s="51">
        <v>1976</v>
      </c>
      <c r="U24" s="51">
        <v>1977</v>
      </c>
      <c r="V24" s="51">
        <v>1978</v>
      </c>
      <c r="W24" s="51">
        <v>1979</v>
      </c>
      <c r="X24" s="51">
        <v>1980</v>
      </c>
      <c r="Y24" s="51">
        <v>1981</v>
      </c>
      <c r="Z24" s="51">
        <v>1982</v>
      </c>
      <c r="AA24" s="51">
        <v>1983</v>
      </c>
      <c r="AB24" s="51">
        <v>1984</v>
      </c>
      <c r="AC24" s="51">
        <v>1985</v>
      </c>
      <c r="AD24" s="51">
        <v>1986</v>
      </c>
      <c r="AE24" s="51">
        <v>1987</v>
      </c>
      <c r="AF24" s="51">
        <v>1988</v>
      </c>
      <c r="AG24" s="51">
        <v>1989</v>
      </c>
      <c r="AH24" s="51">
        <v>1990</v>
      </c>
      <c r="AI24" s="51">
        <v>1991</v>
      </c>
      <c r="AJ24" s="51">
        <v>1992</v>
      </c>
      <c r="AK24" s="51">
        <v>1993</v>
      </c>
      <c r="AL24" s="51">
        <v>1994</v>
      </c>
      <c r="AM24" s="51">
        <v>1995</v>
      </c>
      <c r="AN24" s="51">
        <v>1996</v>
      </c>
      <c r="AO24" s="51">
        <v>1997</v>
      </c>
      <c r="AP24" s="51">
        <v>1998</v>
      </c>
      <c r="AQ24" s="51">
        <v>1999</v>
      </c>
      <c r="AR24" s="51">
        <v>2000</v>
      </c>
      <c r="AS24" s="51">
        <v>2001</v>
      </c>
      <c r="AT24" s="51">
        <v>2002</v>
      </c>
      <c r="AU24" s="51">
        <v>2003</v>
      </c>
      <c r="AV24" s="51">
        <v>2004</v>
      </c>
      <c r="AW24" s="51">
        <v>2005</v>
      </c>
      <c r="AX24" s="51">
        <v>2006</v>
      </c>
      <c r="AY24" s="51">
        <v>2007</v>
      </c>
      <c r="AZ24" s="51">
        <v>2008</v>
      </c>
      <c r="BA24" s="51">
        <v>2009</v>
      </c>
      <c r="BB24" s="51">
        <v>2010</v>
      </c>
      <c r="BC24" s="51">
        <v>2011</v>
      </c>
      <c r="BD24" s="51">
        <v>2012</v>
      </c>
      <c r="BE24" s="51">
        <v>2013</v>
      </c>
      <c r="BF24" s="51">
        <v>2014</v>
      </c>
      <c r="BG24" s="51">
        <v>2015</v>
      </c>
      <c r="BH24" s="51">
        <v>2016</v>
      </c>
      <c r="BI24" s="51">
        <v>2017</v>
      </c>
      <c r="BJ24" s="51">
        <v>2018</v>
      </c>
      <c r="BK24" s="65">
        <v>2019</v>
      </c>
    </row>
    <row r="25" spans="1:63">
      <c r="B25" s="66" t="s">
        <v>270</v>
      </c>
      <c r="C25" s="66" t="str">
        <f>C47</f>
        <v>petrol exergy efficiency, y = 35(1-e^-0.025x)</v>
      </c>
      <c r="D25" s="67">
        <f>D47</f>
        <v>0.15957566228914821</v>
      </c>
      <c r="E25" s="67">
        <f t="shared" ref="E25:BB26" si="0">E47</f>
        <v>0.15957566228914821</v>
      </c>
      <c r="F25" s="67">
        <f t="shared" si="0"/>
        <v>0.15957566228914821</v>
      </c>
      <c r="G25" s="67">
        <f t="shared" si="0"/>
        <v>0.15957566228914824</v>
      </c>
      <c r="H25" s="67">
        <f t="shared" si="0"/>
        <v>0.15957566228914821</v>
      </c>
      <c r="I25" s="67">
        <f t="shared" si="0"/>
        <v>0.15957566228914824</v>
      </c>
      <c r="J25" s="67">
        <f t="shared" si="0"/>
        <v>0.15957566228914821</v>
      </c>
      <c r="K25" s="67">
        <f t="shared" si="0"/>
        <v>0.15957566228914824</v>
      </c>
      <c r="L25" s="67">
        <f t="shared" si="0"/>
        <v>0.15957566228914824</v>
      </c>
      <c r="M25" s="67">
        <f t="shared" si="0"/>
        <v>0.15957566228914821</v>
      </c>
      <c r="N25" s="67">
        <f t="shared" si="0"/>
        <v>0.15977832985657828</v>
      </c>
      <c r="O25" s="67">
        <f t="shared" si="0"/>
        <v>0.16068077968357733</v>
      </c>
      <c r="P25" s="67">
        <f t="shared" si="0"/>
        <v>0.15973940156086686</v>
      </c>
      <c r="Q25" s="67">
        <f t="shared" si="0"/>
        <v>0.15823003362711793</v>
      </c>
      <c r="R25" s="67">
        <f t="shared" si="0"/>
        <v>0.15934526063216348</v>
      </c>
      <c r="S25" s="67">
        <f t="shared" si="0"/>
        <v>0.16324187261236239</v>
      </c>
      <c r="T25" s="67">
        <f t="shared" si="0"/>
        <v>0.16372919018945534</v>
      </c>
      <c r="U25" s="67">
        <f t="shared" si="0"/>
        <v>0.16254752229460565</v>
      </c>
      <c r="V25" s="67">
        <f t="shared" si="0"/>
        <v>0.16047680163058048</v>
      </c>
      <c r="W25" s="67">
        <f t="shared" si="0"/>
        <v>0.1579245544997479</v>
      </c>
      <c r="X25" s="67">
        <f t="shared" si="0"/>
        <v>0.16263378185425792</v>
      </c>
      <c r="Y25" s="67">
        <f t="shared" si="0"/>
        <v>0.16793677186192457</v>
      </c>
      <c r="Z25" s="67">
        <f t="shared" si="0"/>
        <v>0.16810597008408468</v>
      </c>
      <c r="AA25" s="67">
        <f t="shared" si="0"/>
        <v>0.16748787469921694</v>
      </c>
      <c r="AB25" s="67">
        <f t="shared" si="0"/>
        <v>0.16937441294359271</v>
      </c>
      <c r="AC25" s="67">
        <f t="shared" si="0"/>
        <v>0.17106902296461737</v>
      </c>
      <c r="AD25" s="67">
        <f t="shared" si="0"/>
        <v>0.17067499596405628</v>
      </c>
      <c r="AE25" s="67">
        <f t="shared" si="0"/>
        <v>0.17462448779488315</v>
      </c>
      <c r="AF25" s="67">
        <f t="shared" si="0"/>
        <v>0.1764923155995331</v>
      </c>
      <c r="AG25" s="67">
        <f t="shared" si="0"/>
        <v>0.18077232454272851</v>
      </c>
      <c r="AH25" s="67">
        <f t="shared" si="0"/>
        <v>0.17707688799781174</v>
      </c>
      <c r="AI25" s="67">
        <f t="shared" si="0"/>
        <v>0.17715441011566577</v>
      </c>
      <c r="AJ25" s="67">
        <f t="shared" si="0"/>
        <v>0.17512993060076679</v>
      </c>
      <c r="AK25" s="67">
        <f t="shared" si="0"/>
        <v>0.17335647742683125</v>
      </c>
      <c r="AL25" s="67">
        <f t="shared" si="0"/>
        <v>0.17612832444328919</v>
      </c>
      <c r="AM25" s="67">
        <f t="shared" si="0"/>
        <v>0.17946721307183686</v>
      </c>
      <c r="AN25" s="67">
        <f t="shared" si="0"/>
        <v>0.17729463614075647</v>
      </c>
      <c r="AO25" s="67">
        <f t="shared" si="0"/>
        <v>0.17799028305817796</v>
      </c>
      <c r="AP25" s="67">
        <f t="shared" si="0"/>
        <v>0.18067370368605196</v>
      </c>
      <c r="AQ25" s="67">
        <f t="shared" si="0"/>
        <v>0.18070268875933287</v>
      </c>
      <c r="AR25" s="67">
        <f t="shared" si="0"/>
        <v>0.1807037510567342</v>
      </c>
      <c r="AS25" s="67">
        <f t="shared" si="0"/>
        <v>0.18239484916581919</v>
      </c>
      <c r="AT25" s="67">
        <f t="shared" si="0"/>
        <v>0.1825559884459059</v>
      </c>
      <c r="AU25" s="67">
        <f t="shared" si="0"/>
        <v>0.18387917975043055</v>
      </c>
      <c r="AV25" s="67">
        <f t="shared" si="0"/>
        <v>0.18404883077895423</v>
      </c>
      <c r="AW25" s="67">
        <f t="shared" si="0"/>
        <v>0.18294539099294047</v>
      </c>
      <c r="AX25" s="67">
        <f t="shared" si="0"/>
        <v>0.18437037586967936</v>
      </c>
      <c r="AY25" s="67">
        <f t="shared" si="0"/>
        <v>0.18365002855118884</v>
      </c>
      <c r="AZ25" s="67">
        <f t="shared" si="0"/>
        <v>0.18553345091565329</v>
      </c>
      <c r="BA25" s="67">
        <f t="shared" si="0"/>
        <v>0.18861151997382652</v>
      </c>
      <c r="BB25" s="67">
        <f t="shared" si="0"/>
        <v>0.19031440343162881</v>
      </c>
      <c r="BC25" s="68"/>
    </row>
    <row r="26" spans="1:63">
      <c r="B26" s="66" t="s">
        <v>270</v>
      </c>
      <c r="C26" s="66" t="str">
        <f>C48</f>
        <v>diesel exergy efficiency, y = 43.75(1-e^-0.025x)</v>
      </c>
      <c r="D26" s="67">
        <f>D48</f>
        <v>0.11121274215320702</v>
      </c>
      <c r="E26" s="67">
        <f t="shared" si="0"/>
        <v>0.11121274215320696</v>
      </c>
      <c r="F26" s="67">
        <f t="shared" si="0"/>
        <v>0.11121274215320702</v>
      </c>
      <c r="G26" s="67">
        <f t="shared" si="0"/>
        <v>0.11121274215320696</v>
      </c>
      <c r="H26" s="67">
        <f t="shared" si="0"/>
        <v>0.11121274215320696</v>
      </c>
      <c r="I26" s="67">
        <f t="shared" si="0"/>
        <v>0.11121274215320696</v>
      </c>
      <c r="J26" s="67">
        <f t="shared" si="0"/>
        <v>0.11121274215320696</v>
      </c>
      <c r="K26" s="67">
        <f t="shared" si="0"/>
        <v>0.11121274215320696</v>
      </c>
      <c r="L26" s="67">
        <f t="shared" si="0"/>
        <v>0.11121274215320696</v>
      </c>
      <c r="M26" s="67">
        <f t="shared" si="0"/>
        <v>0.11121274215320696</v>
      </c>
      <c r="N26" s="67">
        <f t="shared" si="0"/>
        <v>0.11091855298567591</v>
      </c>
      <c r="O26" s="67">
        <f t="shared" si="0"/>
        <v>0.1112598297595818</v>
      </c>
      <c r="P26" s="67">
        <f t="shared" si="0"/>
        <v>0.11247906298805355</v>
      </c>
      <c r="Q26" s="67">
        <f t="shared" si="0"/>
        <v>0.11048323335533489</v>
      </c>
      <c r="R26" s="67">
        <f t="shared" si="0"/>
        <v>0.11066095685956194</v>
      </c>
      <c r="S26" s="67">
        <f t="shared" si="0"/>
        <v>0.11082953057573279</v>
      </c>
      <c r="T26" s="67">
        <f t="shared" si="0"/>
        <v>0.11124380384610733</v>
      </c>
      <c r="U26" s="67">
        <f t="shared" si="0"/>
        <v>0.1089808837749896</v>
      </c>
      <c r="V26" s="67">
        <f t="shared" si="0"/>
        <v>0.10944209886842129</v>
      </c>
      <c r="W26" s="67">
        <f t="shared" si="0"/>
        <v>0.10702978848780774</v>
      </c>
      <c r="X26" s="67">
        <f t="shared" si="0"/>
        <v>0.11185287687011244</v>
      </c>
      <c r="Y26" s="67">
        <f t="shared" si="0"/>
        <v>0.11550014004931991</v>
      </c>
      <c r="Z26" s="67">
        <f t="shared" si="0"/>
        <v>0.11224594778959419</v>
      </c>
      <c r="AA26" s="67">
        <f t="shared" si="0"/>
        <v>0.10795078261415936</v>
      </c>
      <c r="AB26" s="67">
        <f t="shared" si="0"/>
        <v>0.10501699320997183</v>
      </c>
      <c r="AC26" s="67">
        <f t="shared" si="0"/>
        <v>0.10233983630011806</v>
      </c>
      <c r="AD26" s="67">
        <f t="shared" si="0"/>
        <v>9.7443268647691705E-2</v>
      </c>
      <c r="AE26" s="67">
        <f t="shared" si="0"/>
        <v>0.10356681606912473</v>
      </c>
      <c r="AF26" s="67">
        <f t="shared" si="0"/>
        <v>0.10585086800312826</v>
      </c>
      <c r="AG26" s="67">
        <f t="shared" si="0"/>
        <v>0.11637100925335452</v>
      </c>
      <c r="AH26" s="67">
        <f t="shared" si="0"/>
        <v>0.12608294413231028</v>
      </c>
      <c r="AI26" s="67">
        <f t="shared" si="0"/>
        <v>0.13282839736846638</v>
      </c>
      <c r="AJ26" s="67">
        <f t="shared" si="0"/>
        <v>0.13729003632412218</v>
      </c>
      <c r="AK26" s="67">
        <f t="shared" si="0"/>
        <v>0.143435744452453</v>
      </c>
      <c r="AL26" s="67">
        <f t="shared" si="0"/>
        <v>0.15207088893372989</v>
      </c>
      <c r="AM26" s="67">
        <f t="shared" si="0"/>
        <v>0.16159089797073409</v>
      </c>
      <c r="AN26" s="67">
        <f t="shared" si="0"/>
        <v>0.16439794803510263</v>
      </c>
      <c r="AO26" s="67">
        <f t="shared" si="0"/>
        <v>0.16913905373674695</v>
      </c>
      <c r="AP26" s="67">
        <f t="shared" si="0"/>
        <v>0.17468419641627367</v>
      </c>
      <c r="AQ26" s="67">
        <f t="shared" si="0"/>
        <v>0.18011953210604217</v>
      </c>
      <c r="AR26" s="67">
        <f t="shared" si="0"/>
        <v>0.18338118355356364</v>
      </c>
      <c r="AS26" s="67">
        <f t="shared" si="0"/>
        <v>0.18776244552961463</v>
      </c>
      <c r="AT26" s="67">
        <f t="shared" si="0"/>
        <v>0.19088361211917754</v>
      </c>
      <c r="AU26" s="67">
        <f t="shared" si="0"/>
        <v>0.19466364667455832</v>
      </c>
      <c r="AV26" s="67">
        <f t="shared" si="0"/>
        <v>0.1986263667640005</v>
      </c>
      <c r="AW26" s="67">
        <f t="shared" si="0"/>
        <v>0.20022174150248401</v>
      </c>
      <c r="AX26" s="67">
        <f t="shared" si="0"/>
        <v>0.20467516740789446</v>
      </c>
      <c r="AY26" s="67">
        <f t="shared" si="0"/>
        <v>0.20686698389112135</v>
      </c>
      <c r="AZ26" s="67">
        <f t="shared" si="0"/>
        <v>0.21513059135750168</v>
      </c>
      <c r="BA26" s="67">
        <f t="shared" si="0"/>
        <v>0.2199897864503994</v>
      </c>
      <c r="BB26" s="67">
        <f t="shared" si="0"/>
        <v>0.2209986144578612</v>
      </c>
      <c r="BC26" s="68"/>
    </row>
    <row r="27" spans="1:63" s="69" customFormat="1">
      <c r="B27" s="70" t="s">
        <v>271</v>
      </c>
      <c r="C27" s="71" t="s">
        <v>272</v>
      </c>
      <c r="D27" s="72">
        <f>35*(1-EXP(-0.025*D39))/100</f>
        <v>0.21066572223769853</v>
      </c>
      <c r="E27" s="72">
        <f t="shared" ref="E27:BJ28" si="1">35*(1-EXP(-0.025*E39))/100</f>
        <v>0.21128941788248043</v>
      </c>
      <c r="F27" s="72">
        <f t="shared" si="1"/>
        <v>0.21191333920497701</v>
      </c>
      <c r="G27" s="72">
        <f t="shared" si="1"/>
        <v>0.21253747261499017</v>
      </c>
      <c r="H27" s="72">
        <f t="shared" si="1"/>
        <v>0.21316180444179583</v>
      </c>
      <c r="I27" s="72">
        <f t="shared" si="1"/>
        <v>0.21378632093462979</v>
      </c>
      <c r="J27" s="72">
        <f t="shared" si="1"/>
        <v>0.21441100826318832</v>
      </c>
      <c r="K27" s="72">
        <f t="shared" si="1"/>
        <v>0.21503585251814206</v>
      </c>
      <c r="L27" s="72">
        <f t="shared" si="1"/>
        <v>0.21566083971166505</v>
      </c>
      <c r="M27" s="72">
        <f t="shared" si="1"/>
        <v>0.21628595577797724</v>
      </c>
      <c r="N27" s="72">
        <f t="shared" si="1"/>
        <v>0.21691118657390213</v>
      </c>
      <c r="O27" s="72">
        <f t="shared" si="1"/>
        <v>0.21596756907662734</v>
      </c>
      <c r="P27" s="72">
        <f t="shared" si="1"/>
        <v>0.21960114191949759</v>
      </c>
      <c r="Q27" s="72">
        <f t="shared" si="1"/>
        <v>0.21710729192942196</v>
      </c>
      <c r="R27" s="72">
        <f t="shared" si="1"/>
        <v>0.21802259747709357</v>
      </c>
      <c r="S27" s="72">
        <f t="shared" si="1"/>
        <v>0.22575712376045887</v>
      </c>
      <c r="T27" s="72">
        <f t="shared" si="1"/>
        <v>0.22231057885006306</v>
      </c>
      <c r="U27" s="72">
        <f t="shared" si="1"/>
        <v>0.22406821742831134</v>
      </c>
      <c r="V27" s="72">
        <f t="shared" si="1"/>
        <v>0.2197330876707114</v>
      </c>
      <c r="W27" s="72">
        <f t="shared" si="1"/>
        <v>0.21820314092517162</v>
      </c>
      <c r="X27" s="72">
        <f t="shared" si="1"/>
        <v>0.22316663901345188</v>
      </c>
      <c r="Y27" s="72">
        <f t="shared" si="1"/>
        <v>0.2275508830648256</v>
      </c>
      <c r="Z27" s="72">
        <f t="shared" si="1"/>
        <v>0.22726892887894581</v>
      </c>
      <c r="AA27" s="72">
        <f t="shared" si="1"/>
        <v>0.22832985101676964</v>
      </c>
      <c r="AB27" s="72">
        <f t="shared" si="1"/>
        <v>0.22786768571411378</v>
      </c>
      <c r="AC27" s="72">
        <f t="shared" si="1"/>
        <v>0.23162091473038177</v>
      </c>
      <c r="AD27" s="72">
        <f t="shared" si="1"/>
        <v>0.23135000121143645</v>
      </c>
      <c r="AE27" s="72">
        <f t="shared" si="1"/>
        <v>0.23633891058248224</v>
      </c>
      <c r="AF27" s="72">
        <f t="shared" si="1"/>
        <v>0.23603936990344127</v>
      </c>
      <c r="AG27" s="72">
        <f t="shared" si="1"/>
        <v>0.245605963296887</v>
      </c>
      <c r="AH27" s="72">
        <f t="shared" si="1"/>
        <v>0.24093219316582887</v>
      </c>
      <c r="AI27" s="72">
        <f t="shared" si="1"/>
        <v>0.24146440729299207</v>
      </c>
      <c r="AJ27" s="72">
        <f t="shared" si="1"/>
        <v>0.23701176763607865</v>
      </c>
      <c r="AK27" s="72">
        <f t="shared" si="1"/>
        <v>0.23311740610277465</v>
      </c>
      <c r="AL27" s="72">
        <f t="shared" si="1"/>
        <v>0.23626310225738945</v>
      </c>
      <c r="AM27" s="72">
        <f t="shared" si="1"/>
        <v>0.23911836427076558</v>
      </c>
      <c r="AN27" s="72">
        <f t="shared" si="1"/>
        <v>0.23422367215607071</v>
      </c>
      <c r="AO27" s="72">
        <f t="shared" si="1"/>
        <v>0.23599048133993086</v>
      </c>
      <c r="AP27" s="72">
        <f t="shared" si="1"/>
        <v>0.23745359000524002</v>
      </c>
      <c r="AQ27" s="72">
        <f t="shared" si="1"/>
        <v>0.2338464307991083</v>
      </c>
      <c r="AR27" s="72">
        <f t="shared" si="1"/>
        <v>0.23402694513528133</v>
      </c>
      <c r="AS27" s="72">
        <f t="shared" si="1"/>
        <v>0.23987858941171114</v>
      </c>
      <c r="AT27" s="72">
        <f t="shared" si="1"/>
        <v>0.23861959172703753</v>
      </c>
      <c r="AU27" s="72">
        <f t="shared" si="1"/>
        <v>0.23951914255892942</v>
      </c>
      <c r="AV27" s="72">
        <f t="shared" si="1"/>
        <v>0.24315647313669533</v>
      </c>
      <c r="AW27" s="72">
        <f t="shared" si="1"/>
        <v>0.24133202405425394</v>
      </c>
      <c r="AX27" s="72">
        <f t="shared" si="1"/>
        <v>0.24646619798990485</v>
      </c>
      <c r="AY27" s="72">
        <f t="shared" si="1"/>
        <v>0.24600371280985353</v>
      </c>
      <c r="AZ27" s="72">
        <f t="shared" si="1"/>
        <v>0.24548031354253269</v>
      </c>
      <c r="BA27" s="72">
        <f t="shared" si="1"/>
        <v>0.25295799313390932</v>
      </c>
      <c r="BB27" s="72">
        <f t="shared" si="1"/>
        <v>0.25627107865876014</v>
      </c>
      <c r="BC27" s="72">
        <f t="shared" si="1"/>
        <v>0.25724376377177294</v>
      </c>
      <c r="BD27" s="72">
        <f t="shared" si="1"/>
        <v>0.26109197247310278</v>
      </c>
      <c r="BE27" s="72">
        <f t="shared" si="1"/>
        <v>0.26332415624853028</v>
      </c>
      <c r="BF27" s="72">
        <f t="shared" si="1"/>
        <v>0.26423287809489254</v>
      </c>
      <c r="BG27" s="72">
        <f t="shared" si="1"/>
        <v>0.26304664368496994</v>
      </c>
      <c r="BH27" s="72">
        <f t="shared" si="1"/>
        <v>0.26604482537281854</v>
      </c>
      <c r="BI27" s="72">
        <f t="shared" si="1"/>
        <v>0.26548008502582765</v>
      </c>
      <c r="BJ27" s="72">
        <f t="shared" si="1"/>
        <v>0.26827358211888752</v>
      </c>
      <c r="BK27" s="73"/>
    </row>
    <row r="28" spans="1:63" s="69" customFormat="1">
      <c r="B28" s="70" t="s">
        <v>271</v>
      </c>
      <c r="C28" s="71" t="s">
        <v>273</v>
      </c>
      <c r="D28" s="72">
        <f>35*(1-EXP(-0.025*D40))/100</f>
        <v>0.10769496290530746</v>
      </c>
      <c r="E28" s="72">
        <f t="shared" si="1"/>
        <v>0.10789569974769969</v>
      </c>
      <c r="F28" s="72">
        <f t="shared" si="1"/>
        <v>0.10810362137103935</v>
      </c>
      <c r="G28" s="72">
        <f t="shared" si="1"/>
        <v>0.10831092416356271</v>
      </c>
      <c r="H28" s="72">
        <f t="shared" si="1"/>
        <v>0.10850052739822642</v>
      </c>
      <c r="I28" s="72">
        <f t="shared" si="1"/>
        <v>0.10869645589588525</v>
      </c>
      <c r="J28" s="72">
        <f t="shared" si="1"/>
        <v>0.10888761588143157</v>
      </c>
      <c r="K28" s="72">
        <f t="shared" si="1"/>
        <v>0.1090771323066855</v>
      </c>
      <c r="L28" s="72">
        <f t="shared" si="1"/>
        <v>0.10926004912754105</v>
      </c>
      <c r="M28" s="72">
        <f t="shared" si="1"/>
        <v>0.10944027285110186</v>
      </c>
      <c r="N28" s="74">
        <f t="shared" si="1"/>
        <v>0.10961444345469096</v>
      </c>
      <c r="O28" s="72">
        <f t="shared" si="1"/>
        <v>0.11041202433050117</v>
      </c>
      <c r="P28" s="72">
        <f t="shared" si="1"/>
        <v>0.10970227988141405</v>
      </c>
      <c r="Q28" s="72">
        <f t="shared" si="1"/>
        <v>0.10853950249434183</v>
      </c>
      <c r="R28" s="72">
        <f t="shared" si="1"/>
        <v>0.10934201537199612</v>
      </c>
      <c r="S28" s="72">
        <f t="shared" si="1"/>
        <v>0.11218624884701478</v>
      </c>
      <c r="T28" s="72">
        <f t="shared" si="1"/>
        <v>0.11246835069054339</v>
      </c>
      <c r="U28" s="72">
        <f t="shared" si="1"/>
        <v>0.1115216782393237</v>
      </c>
      <c r="V28" s="72">
        <f t="shared" si="1"/>
        <v>0.10999807452313271</v>
      </c>
      <c r="W28" s="72">
        <f t="shared" si="1"/>
        <v>0.10794510275806733</v>
      </c>
      <c r="X28" s="72">
        <f t="shared" si="1"/>
        <v>0.11148286152446531</v>
      </c>
      <c r="Y28" s="72">
        <f t="shared" si="1"/>
        <v>0.11552489514200971</v>
      </c>
      <c r="Z28" s="72">
        <f t="shared" si="1"/>
        <v>0.11565812716692946</v>
      </c>
      <c r="AA28" s="72">
        <f t="shared" si="1"/>
        <v>0.11527611012296753</v>
      </c>
      <c r="AB28" s="72">
        <f t="shared" si="1"/>
        <v>0.11690807560871951</v>
      </c>
      <c r="AC28" s="72">
        <f t="shared" si="1"/>
        <v>0.11834181663669302</v>
      </c>
      <c r="AD28" s="72">
        <f t="shared" si="1"/>
        <v>0.11811683206520587</v>
      </c>
      <c r="AE28" s="72">
        <f t="shared" si="1"/>
        <v>0.12136967006967819</v>
      </c>
      <c r="AF28" s="72">
        <f t="shared" si="1"/>
        <v>0.12304241013893071</v>
      </c>
      <c r="AG28" s="72">
        <f t="shared" si="1"/>
        <v>0.12652406238669353</v>
      </c>
      <c r="AH28" s="72">
        <f t="shared" si="1"/>
        <v>0.12358414081211422</v>
      </c>
      <c r="AI28" s="72">
        <f t="shared" si="1"/>
        <v>0.1236674891595162</v>
      </c>
      <c r="AJ28" s="72">
        <f t="shared" si="1"/>
        <v>0.12218185574877749</v>
      </c>
      <c r="AK28" s="72">
        <f t="shared" si="1"/>
        <v>0.12089685317682072</v>
      </c>
      <c r="AL28" s="72">
        <f t="shared" si="1"/>
        <v>0.12322597434067804</v>
      </c>
      <c r="AM28" s="72">
        <f t="shared" si="1"/>
        <v>0.12603458485411642</v>
      </c>
      <c r="AN28" s="72">
        <f t="shared" si="1"/>
        <v>0.12435891909597477</v>
      </c>
      <c r="AO28" s="72">
        <f t="shared" si="1"/>
        <v>0.12495373883034888</v>
      </c>
      <c r="AP28" s="72">
        <f t="shared" si="1"/>
        <v>0.12717596291699007</v>
      </c>
      <c r="AQ28" s="72">
        <f t="shared" si="1"/>
        <v>0.12727239947989888</v>
      </c>
      <c r="AR28" s="72">
        <f t="shared" si="1"/>
        <v>0.12732423591037914</v>
      </c>
      <c r="AS28" s="72">
        <f t="shared" si="1"/>
        <v>0.12875110742475271</v>
      </c>
      <c r="AT28" s="72">
        <f t="shared" si="1"/>
        <v>0.12903729760057492</v>
      </c>
      <c r="AU28" s="72">
        <f t="shared" si="1"/>
        <v>0.13026676874330645</v>
      </c>
      <c r="AV28" s="72">
        <f t="shared" si="1"/>
        <v>0.13062120493302992</v>
      </c>
      <c r="AW28" s="72">
        <f t="shared" si="1"/>
        <v>0.12995131627698689</v>
      </c>
      <c r="AX28" s="72">
        <f t="shared" si="1"/>
        <v>0.13144386786249959</v>
      </c>
      <c r="AY28" s="72">
        <f t="shared" si="1"/>
        <v>0.13107696213238482</v>
      </c>
      <c r="AZ28" s="72">
        <f t="shared" si="1"/>
        <v>0.13305996142723395</v>
      </c>
      <c r="BA28" s="72">
        <f t="shared" si="1"/>
        <v>0.13582502453787784</v>
      </c>
      <c r="BB28" s="72">
        <f t="shared" si="1"/>
        <v>0.13769553339106447</v>
      </c>
      <c r="BC28" s="72">
        <f t="shared" si="1"/>
        <v>0.13977199824845485</v>
      </c>
      <c r="BD28" s="72">
        <f t="shared" si="1"/>
        <v>0.14063618107686493</v>
      </c>
      <c r="BE28" s="72">
        <f t="shared" si="1"/>
        <v>0.14293162649929322</v>
      </c>
      <c r="BF28" s="72">
        <f t="shared" si="1"/>
        <v>0.14555683461421171</v>
      </c>
      <c r="BG28" s="72">
        <f t="shared" si="1"/>
        <v>0.14669477031299358</v>
      </c>
      <c r="BH28" s="72">
        <f t="shared" si="1"/>
        <v>0.14764864897165914</v>
      </c>
      <c r="BI28" s="72">
        <f t="shared" si="1"/>
        <v>0.1499745753417516</v>
      </c>
      <c r="BJ28" s="72">
        <f t="shared" si="1"/>
        <v>0.15337770756692493</v>
      </c>
      <c r="BK28" s="73"/>
    </row>
    <row r="29" spans="1:63" s="69" customFormat="1">
      <c r="B29" s="70" t="s">
        <v>271</v>
      </c>
      <c r="C29" s="71" t="s">
        <v>274</v>
      </c>
      <c r="D29" s="72">
        <f>43.75*(1-EXP(-0.025*D41))/100</f>
        <v>0.1391538743530577</v>
      </c>
      <c r="E29" s="72">
        <f t="shared" ref="E29:BJ29" si="2">43.75*(1-EXP(-0.025*E41))/100</f>
        <v>0.13973162675931003</v>
      </c>
      <c r="F29" s="72">
        <f t="shared" si="2"/>
        <v>0.14030842335426183</v>
      </c>
      <c r="G29" s="72">
        <f t="shared" si="2"/>
        <v>0.14088449304599199</v>
      </c>
      <c r="H29" s="72">
        <f t="shared" si="2"/>
        <v>0.14146004442495241</v>
      </c>
      <c r="I29" s="72">
        <f t="shared" si="2"/>
        <v>0.14203526801326</v>
      </c>
      <c r="J29" s="72">
        <f t="shared" si="2"/>
        <v>0.14261033822060551</v>
      </c>
      <c r="K29" s="72">
        <f t="shared" si="2"/>
        <v>0.14318541505044741</v>
      </c>
      <c r="L29" s="72">
        <f t="shared" si="2"/>
        <v>0.14376064559288715</v>
      </c>
      <c r="M29" s="72">
        <f t="shared" si="2"/>
        <v>0.1443361653346811</v>
      </c>
      <c r="N29" s="74">
        <f t="shared" si="2"/>
        <v>0.1448936286610889</v>
      </c>
      <c r="O29" s="72">
        <f t="shared" si="2"/>
        <v>0.1462470147967887</v>
      </c>
      <c r="P29" s="72">
        <f t="shared" si="2"/>
        <v>0.1459453839457294</v>
      </c>
      <c r="Q29" s="72">
        <f t="shared" si="2"/>
        <v>0.14463621490638207</v>
      </c>
      <c r="R29" s="72">
        <f t="shared" si="2"/>
        <v>0.14511806198391328</v>
      </c>
      <c r="S29" s="72">
        <f t="shared" si="2"/>
        <v>0.14910785693818476</v>
      </c>
      <c r="T29" s="72">
        <f t="shared" si="2"/>
        <v>0.15001099856675248</v>
      </c>
      <c r="U29" s="72">
        <f t="shared" si="2"/>
        <v>0.14852231699995883</v>
      </c>
      <c r="V29" s="72">
        <f t="shared" si="2"/>
        <v>0.14749882712517989</v>
      </c>
      <c r="W29" s="72">
        <f t="shared" si="2"/>
        <v>0.14503322762323392</v>
      </c>
      <c r="X29" s="72">
        <f t="shared" si="2"/>
        <v>0.15015517699648767</v>
      </c>
      <c r="Y29" s="72">
        <f t="shared" si="2"/>
        <v>0.1550678810347331</v>
      </c>
      <c r="Z29" s="72">
        <f t="shared" si="2"/>
        <v>0.15475754086078986</v>
      </c>
      <c r="AA29" s="72">
        <f t="shared" si="2"/>
        <v>0.15390197653132728</v>
      </c>
      <c r="AB29" s="72">
        <f t="shared" si="2"/>
        <v>0.15491382497868758</v>
      </c>
      <c r="AC29" s="72">
        <f t="shared" si="2"/>
        <v>0.15680388262822947</v>
      </c>
      <c r="AD29" s="72">
        <f t="shared" si="2"/>
        <v>0.15487384824200662</v>
      </c>
      <c r="AE29" s="72">
        <f t="shared" si="2"/>
        <v>0.16183084407033771</v>
      </c>
      <c r="AF29" s="72">
        <f t="shared" si="2"/>
        <v>0.16259884772578345</v>
      </c>
      <c r="AG29" s="72">
        <f t="shared" si="2"/>
        <v>0.15589092703470675</v>
      </c>
      <c r="AH29" s="72">
        <f t="shared" si="2"/>
        <v>0.16024514087113173</v>
      </c>
      <c r="AI29" s="72">
        <f t="shared" si="2"/>
        <v>0.16017939514888296</v>
      </c>
      <c r="AJ29" s="72">
        <f t="shared" si="2"/>
        <v>0.15865472921990489</v>
      </c>
      <c r="AK29" s="72">
        <f t="shared" si="2"/>
        <v>0.15841859628127289</v>
      </c>
      <c r="AL29" s="72">
        <f t="shared" si="2"/>
        <v>0.1611450425314504</v>
      </c>
      <c r="AM29" s="72">
        <f t="shared" si="2"/>
        <v>0.16502855163524408</v>
      </c>
      <c r="AN29" s="72">
        <f t="shared" si="2"/>
        <v>0.16287982764153358</v>
      </c>
      <c r="AO29" s="72">
        <f t="shared" si="2"/>
        <v>0.16312203417740115</v>
      </c>
      <c r="AP29" s="72">
        <f t="shared" si="2"/>
        <v>0.16554159960153814</v>
      </c>
      <c r="AQ29" s="72">
        <f t="shared" si="2"/>
        <v>0.16616186525706289</v>
      </c>
      <c r="AR29" s="72">
        <f t="shared" si="2"/>
        <v>0.16612350206811932</v>
      </c>
      <c r="AS29" s="72">
        <f t="shared" si="2"/>
        <v>0.16825934341168441</v>
      </c>
      <c r="AT29" s="72">
        <f t="shared" si="2"/>
        <v>0.16923035226469252</v>
      </c>
      <c r="AU29" s="72">
        <f t="shared" si="2"/>
        <v>0.17098052106040262</v>
      </c>
      <c r="AV29" s="72">
        <f t="shared" si="2"/>
        <v>0.17211155763833247</v>
      </c>
      <c r="AW29" s="72">
        <f t="shared" si="2"/>
        <v>0.1715735628379968</v>
      </c>
      <c r="AX29" s="72">
        <f t="shared" si="2"/>
        <v>0.17383899321376822</v>
      </c>
      <c r="AY29" s="72">
        <f t="shared" si="2"/>
        <v>0.17395417595710999</v>
      </c>
      <c r="AZ29" s="72">
        <f t="shared" si="2"/>
        <v>0.17812566514196362</v>
      </c>
      <c r="BA29" s="72">
        <f t="shared" si="2"/>
        <v>0.18034858180955229</v>
      </c>
      <c r="BB29" s="72">
        <f t="shared" si="2"/>
        <v>0.1815564989755302</v>
      </c>
      <c r="BC29" s="72">
        <f t="shared" si="2"/>
        <v>0.18382754562673775</v>
      </c>
      <c r="BD29" s="72">
        <f t="shared" si="2"/>
        <v>0.18437780464306969</v>
      </c>
      <c r="BE29" s="72">
        <f t="shared" si="2"/>
        <v>0.1871254788362802</v>
      </c>
      <c r="BF29" s="72">
        <f t="shared" si="2"/>
        <v>0.1898282340017716</v>
      </c>
      <c r="BG29" s="72">
        <f t="shared" si="2"/>
        <v>0.19037757905422648</v>
      </c>
      <c r="BH29" s="72">
        <f t="shared" si="2"/>
        <v>0.190458291754178</v>
      </c>
      <c r="BI29" s="72">
        <f t="shared" si="2"/>
        <v>0.19318380213649683</v>
      </c>
      <c r="BJ29" s="72">
        <f t="shared" si="2"/>
        <v>0.19699143218185244</v>
      </c>
      <c r="BK29" s="73"/>
    </row>
    <row r="30" spans="1:63" s="69" customFormat="1">
      <c r="B30" s="70" t="s">
        <v>271</v>
      </c>
      <c r="C30" s="71" t="s">
        <v>275</v>
      </c>
      <c r="D30" s="72">
        <f>50*(1-EXP(-0.13*D42))/100</f>
        <v>0.20625414176561679</v>
      </c>
      <c r="E30" s="72">
        <f t="shared" ref="E30:BJ31" si="3">50*(1-EXP(-0.13*E42))/100</f>
        <v>0.21436333807075292</v>
      </c>
      <c r="F30" s="72">
        <f t="shared" si="3"/>
        <v>0.22265760476580621</v>
      </c>
      <c r="G30" s="72">
        <f t="shared" si="3"/>
        <v>0.23112834998814555</v>
      </c>
      <c r="H30" s="72">
        <f t="shared" si="3"/>
        <v>0.23976557311547667</v>
      </c>
      <c r="I30" s="72">
        <f t="shared" si="3"/>
        <v>0.24855780614777431</v>
      </c>
      <c r="J30" s="72">
        <f t="shared" si="3"/>
        <v>0.25749206429415672</v>
      </c>
      <c r="K30" s="72">
        <f t="shared" si="3"/>
        <v>0.26655380787385718</v>
      </c>
      <c r="L30" s="72">
        <f t="shared" si="3"/>
        <v>0.27572691778243696</v>
      </c>
      <c r="M30" s="72">
        <f t="shared" si="3"/>
        <v>0.28499368688821025</v>
      </c>
      <c r="N30" s="74">
        <f t="shared" si="3"/>
        <v>0.29433482979953851</v>
      </c>
      <c r="O30" s="72">
        <f t="shared" si="3"/>
        <v>0.2929618639744247</v>
      </c>
      <c r="P30" s="72">
        <f t="shared" si="3"/>
        <v>0.29399782123437979</v>
      </c>
      <c r="Q30" s="72">
        <f t="shared" si="3"/>
        <v>0.28847343344699417</v>
      </c>
      <c r="R30" s="72">
        <f t="shared" si="3"/>
        <v>0.28535323694952197</v>
      </c>
      <c r="S30" s="72">
        <f t="shared" si="3"/>
        <v>0.28472923223878832</v>
      </c>
      <c r="T30" s="72">
        <f t="shared" si="3"/>
        <v>0.28519871257822771</v>
      </c>
      <c r="U30" s="72">
        <f t="shared" si="3"/>
        <v>0.27862412842979223</v>
      </c>
      <c r="V30" s="72">
        <f t="shared" si="3"/>
        <v>0.27891105174861192</v>
      </c>
      <c r="W30" s="72">
        <f t="shared" si="3"/>
        <v>0.2741058469489156</v>
      </c>
      <c r="X30" s="72">
        <f t="shared" si="3"/>
        <v>0.28347706586165239</v>
      </c>
      <c r="Y30" s="72">
        <f t="shared" si="3"/>
        <v>0.28796787506449228</v>
      </c>
      <c r="Z30" s="72">
        <f t="shared" si="3"/>
        <v>0.27876133977850903</v>
      </c>
      <c r="AA30" s="72">
        <f t="shared" si="3"/>
        <v>0.26977833979057264</v>
      </c>
      <c r="AB30" s="72">
        <f t="shared" si="3"/>
        <v>0.26088989488500541</v>
      </c>
      <c r="AC30" s="72">
        <f t="shared" si="3"/>
        <v>0.24982665768570456</v>
      </c>
      <c r="AD30" s="72">
        <f t="shared" si="3"/>
        <v>0.23573119177965376</v>
      </c>
      <c r="AE30" s="72">
        <f t="shared" si="3"/>
        <v>0.24315513369166714</v>
      </c>
      <c r="AF30" s="72">
        <f t="shared" si="3"/>
        <v>0.23896796721736419</v>
      </c>
      <c r="AG30" s="72">
        <f t="shared" si="3"/>
        <v>0.25047751090638337</v>
      </c>
      <c r="AH30" s="72">
        <f t="shared" si="3"/>
        <v>0.24848018656349347</v>
      </c>
      <c r="AI30" s="72">
        <f t="shared" si="3"/>
        <v>0.25386590209564397</v>
      </c>
      <c r="AJ30" s="72">
        <f t="shared" si="3"/>
        <v>0.24996785870949256</v>
      </c>
      <c r="AK30" s="72">
        <f t="shared" si="3"/>
        <v>0.25096290869438342</v>
      </c>
      <c r="AL30" s="72">
        <f t="shared" si="3"/>
        <v>0.24893042116408015</v>
      </c>
      <c r="AM30" s="72">
        <f t="shared" si="3"/>
        <v>0.25608908340428782</v>
      </c>
      <c r="AN30" s="72">
        <f t="shared" si="3"/>
        <v>0.25645255325714544</v>
      </c>
      <c r="AO30" s="72">
        <f t="shared" si="3"/>
        <v>0.26021189050349336</v>
      </c>
      <c r="AP30" s="72">
        <f t="shared" si="3"/>
        <v>0.26730193279572673</v>
      </c>
      <c r="AQ30" s="72">
        <f t="shared" si="3"/>
        <v>0.27354555695030236</v>
      </c>
      <c r="AR30" s="72">
        <f t="shared" si="3"/>
        <v>0.27632465750858737</v>
      </c>
      <c r="AS30" s="72">
        <f t="shared" si="3"/>
        <v>0.27548762510229341</v>
      </c>
      <c r="AT30" s="72">
        <f t="shared" si="3"/>
        <v>0.27308945967800968</v>
      </c>
      <c r="AU30" s="72">
        <f t="shared" si="3"/>
        <v>0.27216593178016302</v>
      </c>
      <c r="AV30" s="72">
        <f t="shared" si="3"/>
        <v>0.27390861541949796</v>
      </c>
      <c r="AW30" s="72">
        <f t="shared" si="3"/>
        <v>0.26985527162359191</v>
      </c>
      <c r="AX30" s="72">
        <f t="shared" si="3"/>
        <v>0.26957372208913732</v>
      </c>
      <c r="AY30" s="72">
        <f t="shared" si="3"/>
        <v>0.26994527516187083</v>
      </c>
      <c r="AZ30" s="72">
        <f t="shared" si="3"/>
        <v>0.27901230419627332</v>
      </c>
      <c r="BA30" s="72">
        <f t="shared" si="3"/>
        <v>0.27820437956297184</v>
      </c>
      <c r="BB30" s="72">
        <f t="shared" si="3"/>
        <v>0.27416375809213733</v>
      </c>
      <c r="BC30" s="72">
        <f t="shared" si="3"/>
        <v>0.27440055916354439</v>
      </c>
      <c r="BD30" s="72">
        <f t="shared" si="3"/>
        <v>0.26957463971845869</v>
      </c>
      <c r="BE30" s="72">
        <f t="shared" si="3"/>
        <v>0.27119057530584112</v>
      </c>
      <c r="BF30" s="72">
        <f t="shared" si="3"/>
        <v>0.27087490146620585</v>
      </c>
      <c r="BG30" s="72">
        <f t="shared" si="3"/>
        <v>0.26812865245445505</v>
      </c>
      <c r="BH30" s="72">
        <f t="shared" si="3"/>
        <v>0.2641526910271273</v>
      </c>
      <c r="BI30" s="72">
        <f t="shared" si="3"/>
        <v>0.26421231574353765</v>
      </c>
      <c r="BJ30" s="74">
        <f t="shared" si="3"/>
        <v>0.26573713644085517</v>
      </c>
      <c r="BK30" s="73"/>
    </row>
    <row r="31" spans="1:63" s="69" customFormat="1">
      <c r="B31" s="70" t="s">
        <v>271</v>
      </c>
      <c r="C31" s="71" t="s">
        <v>276</v>
      </c>
      <c r="D31" s="72">
        <f>50*(1-EXP(-0.13*D43))/100</f>
        <v>0.24670520672063156</v>
      </c>
      <c r="E31" s="72">
        <f t="shared" si="3"/>
        <v>0.25378173125406267</v>
      </c>
      <c r="F31" s="72">
        <f t="shared" si="3"/>
        <v>0.26094296180156229</v>
      </c>
      <c r="G31" s="72">
        <f t="shared" si="3"/>
        <v>0.26818118494751719</v>
      </c>
      <c r="H31" s="72">
        <f t="shared" si="3"/>
        <v>0.27548805110977587</v>
      </c>
      <c r="I31" s="72">
        <f t="shared" si="3"/>
        <v>0.28285457329759567</v>
      </c>
      <c r="J31" s="72">
        <f t="shared" si="3"/>
        <v>0.29027113064882692</v>
      </c>
      <c r="K31" s="72">
        <f t="shared" si="3"/>
        <v>0.29772747724651272</v>
      </c>
      <c r="L31" s="72">
        <f t="shared" si="3"/>
        <v>0.30521275671000259</v>
      </c>
      <c r="M31" s="72">
        <f t="shared" si="3"/>
        <v>0.312715523041323</v>
      </c>
      <c r="N31" s="74">
        <f t="shared" si="3"/>
        <v>0.32022376818259313</v>
      </c>
      <c r="O31" s="72">
        <f t="shared" si="3"/>
        <v>0.31981301365543657</v>
      </c>
      <c r="P31" s="72">
        <f t="shared" si="3"/>
        <v>0.32147290925084809</v>
      </c>
      <c r="Q31" s="72">
        <f t="shared" si="3"/>
        <v>0.31580467496711884</v>
      </c>
      <c r="R31" s="72">
        <f t="shared" si="3"/>
        <v>0.32246609877975785</v>
      </c>
      <c r="S31" s="72">
        <f t="shared" si="3"/>
        <v>0.31825323799574329</v>
      </c>
      <c r="T31" s="72">
        <f t="shared" si="3"/>
        <v>0.32435217508562098</v>
      </c>
      <c r="U31" s="72">
        <f t="shared" si="3"/>
        <v>0.31547016797764443</v>
      </c>
      <c r="V31" s="72">
        <f t="shared" si="3"/>
        <v>0.32218552526271005</v>
      </c>
      <c r="W31" s="72">
        <f t="shared" si="3"/>
        <v>0.31811523623691706</v>
      </c>
      <c r="X31" s="72">
        <f t="shared" si="3"/>
        <v>0.3213288102250953</v>
      </c>
      <c r="Y31" s="72">
        <f t="shared" si="3"/>
        <v>0.32685351423616715</v>
      </c>
      <c r="Z31" s="72">
        <f t="shared" si="3"/>
        <v>0.31753780619697469</v>
      </c>
      <c r="AA31" s="72">
        <f t="shared" si="3"/>
        <v>0.30707942521262999</v>
      </c>
      <c r="AB31" s="72">
        <f t="shared" si="3"/>
        <v>0.29969215289178242</v>
      </c>
      <c r="AC31" s="72">
        <f t="shared" si="3"/>
        <v>0.29373834967208468</v>
      </c>
      <c r="AD31" s="72">
        <f t="shared" si="3"/>
        <v>0.27880728171479885</v>
      </c>
      <c r="AE31" s="72">
        <f t="shared" si="3"/>
        <v>0.28214563606909909</v>
      </c>
      <c r="AF31" s="72">
        <f t="shared" si="3"/>
        <v>0.28277877793300465</v>
      </c>
      <c r="AG31" s="72">
        <f t="shared" si="3"/>
        <v>0.27273626654277394</v>
      </c>
      <c r="AH31" s="72">
        <f t="shared" si="3"/>
        <v>0.27592387113514028</v>
      </c>
      <c r="AI31" s="72">
        <f t="shared" si="3"/>
        <v>0.2774965062536805</v>
      </c>
      <c r="AJ31" s="72">
        <f t="shared" si="3"/>
        <v>0.27367195023486957</v>
      </c>
      <c r="AK31" s="72">
        <f t="shared" si="3"/>
        <v>0.27400462083169652</v>
      </c>
      <c r="AL31" s="72">
        <f t="shared" si="3"/>
        <v>0.2716441430239529</v>
      </c>
      <c r="AM31" s="72">
        <f t="shared" si="3"/>
        <v>0.27516617025700901</v>
      </c>
      <c r="AN31" s="72">
        <f t="shared" si="3"/>
        <v>0.27881728414217677</v>
      </c>
      <c r="AO31" s="72">
        <f t="shared" si="3"/>
        <v>0.28446429813055563</v>
      </c>
      <c r="AP31" s="72">
        <f t="shared" si="3"/>
        <v>0.29486015000054244</v>
      </c>
      <c r="AQ31" s="72">
        <f t="shared" si="3"/>
        <v>0.3006503008099547</v>
      </c>
      <c r="AR31" s="72">
        <f t="shared" si="3"/>
        <v>0.30663847100017971</v>
      </c>
      <c r="AS31" s="72">
        <f t="shared" si="3"/>
        <v>0.31110730916121437</v>
      </c>
      <c r="AT31" s="72">
        <f t="shared" si="3"/>
        <v>0.31168966639384199</v>
      </c>
      <c r="AU31" s="72">
        <f t="shared" si="3"/>
        <v>0.3125541869499876</v>
      </c>
      <c r="AV31" s="72">
        <f t="shared" si="3"/>
        <v>0.31517484864195566</v>
      </c>
      <c r="AW31" s="72">
        <f t="shared" si="3"/>
        <v>0.31574386058042436</v>
      </c>
      <c r="AX31" s="72">
        <f t="shared" si="3"/>
        <v>0.31889139100080677</v>
      </c>
      <c r="AY31" s="72">
        <f t="shared" si="3"/>
        <v>0.32121776403190205</v>
      </c>
      <c r="AZ31" s="72">
        <f t="shared" si="3"/>
        <v>0.32649563966007622</v>
      </c>
      <c r="BA31" s="72">
        <f t="shared" si="3"/>
        <v>0.32709658782956652</v>
      </c>
      <c r="BB31" s="72">
        <f t="shared" si="3"/>
        <v>0.32880126944523108</v>
      </c>
      <c r="BC31" s="72">
        <f t="shared" si="3"/>
        <v>0.33227890152997136</v>
      </c>
      <c r="BD31" s="72">
        <f t="shared" si="3"/>
        <v>0.32784856340877605</v>
      </c>
      <c r="BE31" s="72">
        <f t="shared" si="3"/>
        <v>0.33188077472100103</v>
      </c>
      <c r="BF31" s="72">
        <f t="shared" si="3"/>
        <v>0.33278450495917666</v>
      </c>
      <c r="BG31" s="72">
        <f t="shared" si="3"/>
        <v>0.3325954996837448</v>
      </c>
      <c r="BH31" s="72">
        <f t="shared" si="3"/>
        <v>0.32860930519567033</v>
      </c>
      <c r="BI31" s="72">
        <f t="shared" si="3"/>
        <v>0.33742988730632784</v>
      </c>
      <c r="BJ31" s="74">
        <f t="shared" si="3"/>
        <v>0.34098705785836592</v>
      </c>
      <c r="BK31" s="73"/>
    </row>
    <row r="32" spans="1:63" s="69" customFormat="1">
      <c r="A32" s="75"/>
      <c r="B32" s="70" t="s">
        <v>271</v>
      </c>
      <c r="C32" s="70" t="s">
        <v>277</v>
      </c>
      <c r="D32" s="76">
        <f>D269/D281</f>
        <v>5.9111102147046922E-2</v>
      </c>
      <c r="E32" s="76">
        <f t="shared" ref="E32:BI32" si="4">E269/E281</f>
        <v>5.3828140846266644E-2</v>
      </c>
      <c r="F32" s="76">
        <f t="shared" si="4"/>
        <v>4.6276034635194911E-2</v>
      </c>
      <c r="G32" s="76">
        <f t="shared" si="4"/>
        <v>3.8332858477181583E-2</v>
      </c>
      <c r="H32" s="76">
        <f t="shared" si="4"/>
        <v>3.4797124128854988E-2</v>
      </c>
      <c r="I32" s="76">
        <f t="shared" si="4"/>
        <v>2.9130425413273524E-2</v>
      </c>
      <c r="J32" s="76">
        <f t="shared" si="4"/>
        <v>2.4458238009693139E-2</v>
      </c>
      <c r="K32" s="76">
        <f t="shared" si="4"/>
        <v>1.9916126934346166E-2</v>
      </c>
      <c r="L32" s="76">
        <f t="shared" si="4"/>
        <v>1.711249599718127E-2</v>
      </c>
      <c r="M32" s="76">
        <f t="shared" si="4"/>
        <v>1.4922715184102514E-2</v>
      </c>
      <c r="N32" s="76">
        <f t="shared" si="4"/>
        <v>1.4540494437851884E-2</v>
      </c>
      <c r="O32" s="76">
        <f t="shared" si="4"/>
        <v>1.3366381827831291E-2</v>
      </c>
      <c r="P32" s="76">
        <f t="shared" si="4"/>
        <v>1.1713105407023354E-2</v>
      </c>
      <c r="Q32" s="76">
        <f t="shared" si="4"/>
        <v>1.1703791408804736E-2</v>
      </c>
      <c r="R32" s="76">
        <f t="shared" si="4"/>
        <v>1.2931954815903127E-2</v>
      </c>
      <c r="S32" s="76">
        <f t="shared" si="4"/>
        <v>1.5318407806705568E-2</v>
      </c>
      <c r="T32" s="76">
        <f t="shared" si="4"/>
        <v>1.8311067300738958E-2</v>
      </c>
      <c r="U32" s="76">
        <f t="shared" si="4"/>
        <v>1.7583863710755161E-2</v>
      </c>
      <c r="V32" s="76">
        <f t="shared" si="4"/>
        <v>1.6731381270488642E-2</v>
      </c>
      <c r="W32" s="76">
        <f t="shared" si="4"/>
        <v>1.7497443712126106E-2</v>
      </c>
      <c r="X32" s="76">
        <f t="shared" si="4"/>
        <v>1.9699777236537108E-2</v>
      </c>
      <c r="Y32" s="76">
        <f t="shared" si="4"/>
        <v>2.2312776920056697E-2</v>
      </c>
      <c r="Z32" s="76">
        <f t="shared" si="4"/>
        <v>2.2532227453913905E-2</v>
      </c>
      <c r="AA32" s="76">
        <f t="shared" si="4"/>
        <v>2.0055227295953701E-2</v>
      </c>
      <c r="AB32" s="76">
        <f t="shared" si="4"/>
        <v>1.8720728601566514E-2</v>
      </c>
      <c r="AC32" s="76">
        <f t="shared" si="4"/>
        <v>1.6585034171572217E-2</v>
      </c>
      <c r="AD32" s="76">
        <f t="shared" si="4"/>
        <v>1.5101072781071444E-2</v>
      </c>
      <c r="AE32" s="76">
        <f t="shared" si="4"/>
        <v>1.3418005373636984E-2</v>
      </c>
      <c r="AF32" s="76">
        <f t="shared" si="4"/>
        <v>1.1305614934388196E-2</v>
      </c>
      <c r="AG32" s="76">
        <f t="shared" si="4"/>
        <v>1.0190456781626315E-2</v>
      </c>
      <c r="AH32" s="76">
        <f t="shared" si="4"/>
        <v>9.8410633098808681E-3</v>
      </c>
      <c r="AI32" s="76">
        <f t="shared" si="4"/>
        <v>9.6342957274321815E-3</v>
      </c>
      <c r="AJ32" s="76">
        <f t="shared" si="4"/>
        <v>8.2094086002820615E-3</v>
      </c>
      <c r="AK32" s="76">
        <f t="shared" si="4"/>
        <v>7.0357342470112137E-3</v>
      </c>
      <c r="AL32" s="76">
        <f t="shared" si="4"/>
        <v>7.1492027315629963E-3</v>
      </c>
      <c r="AM32" s="76">
        <f t="shared" si="4"/>
        <v>7.2803226610223719E-3</v>
      </c>
      <c r="AN32" s="76">
        <f t="shared" si="4"/>
        <v>7.4096485904656569E-3</v>
      </c>
      <c r="AO32" s="76">
        <f t="shared" si="4"/>
        <v>8.0017736074022398E-3</v>
      </c>
      <c r="AP32" s="76">
        <f t="shared" si="4"/>
        <v>8.3821383739626412E-3</v>
      </c>
      <c r="AQ32" s="76">
        <f t="shared" si="4"/>
        <v>9.3128466165864621E-3</v>
      </c>
      <c r="AR32" s="76">
        <f t="shared" si="4"/>
        <v>9.4705027702437373E-3</v>
      </c>
      <c r="AS32" s="76">
        <f t="shared" si="4"/>
        <v>9.9118027890171476E-3</v>
      </c>
      <c r="AT32" s="76">
        <f t="shared" si="4"/>
        <v>1.0412764828072726E-2</v>
      </c>
      <c r="AU32" s="76">
        <f t="shared" si="4"/>
        <v>1.1858031205587545E-2</v>
      </c>
      <c r="AV32" s="76">
        <f t="shared" si="4"/>
        <v>1.1103082322471725E-2</v>
      </c>
      <c r="AW32" s="76">
        <f t="shared" si="4"/>
        <v>1.2012733109810712E-2</v>
      </c>
      <c r="AX32" s="76">
        <f t="shared" si="4"/>
        <v>1.167171722270881E-2</v>
      </c>
      <c r="AY32" s="76">
        <f t="shared" si="4"/>
        <v>1.2798379778931701E-2</v>
      </c>
      <c r="AZ32" s="76">
        <f t="shared" si="4"/>
        <v>1.2490936838077076E-2</v>
      </c>
      <c r="BA32" s="76">
        <f t="shared" si="4"/>
        <v>1.2874135670446509E-2</v>
      </c>
      <c r="BB32" s="76">
        <f t="shared" si="4"/>
        <v>1.2182225859935659E-2</v>
      </c>
      <c r="BC32" s="76">
        <f t="shared" si="4"/>
        <v>1.2722022286882717E-2</v>
      </c>
      <c r="BD32" s="76">
        <f t="shared" si="4"/>
        <v>1.295051178262319E-2</v>
      </c>
      <c r="BE32" s="76">
        <f t="shared" si="4"/>
        <v>1.2940104971456427E-2</v>
      </c>
      <c r="BF32" s="76">
        <f t="shared" si="4"/>
        <v>1.3600777361050757E-2</v>
      </c>
      <c r="BG32" s="76">
        <f t="shared" si="4"/>
        <v>1.404351274525077E-2</v>
      </c>
      <c r="BH32" s="76">
        <f t="shared" si="4"/>
        <v>1.4355734571992032E-2</v>
      </c>
      <c r="BI32" s="76">
        <f t="shared" si="4"/>
        <v>1.4645837514514412E-2</v>
      </c>
      <c r="BJ32" s="76">
        <f>BJ269/BJ281</f>
        <v>1.4580228746185541E-2</v>
      </c>
      <c r="BK32" s="77">
        <f>BK269/BK281</f>
        <v>1.522430531344492E-2</v>
      </c>
    </row>
    <row r="33" spans="2:63" s="69" customFormat="1">
      <c r="B33" s="70" t="s">
        <v>271</v>
      </c>
      <c r="C33" s="70" t="s">
        <v>278</v>
      </c>
      <c r="D33" s="76">
        <f>1-D32</f>
        <v>0.94088889785295304</v>
      </c>
      <c r="E33" s="76">
        <f t="shared" ref="E33:BK33" si="5">1-E32</f>
        <v>0.94617185915373336</v>
      </c>
      <c r="F33" s="76">
        <f t="shared" si="5"/>
        <v>0.95372396536480508</v>
      </c>
      <c r="G33" s="76">
        <f t="shared" si="5"/>
        <v>0.9616671415228184</v>
      </c>
      <c r="H33" s="76">
        <f t="shared" si="5"/>
        <v>0.96520287587114506</v>
      </c>
      <c r="I33" s="76">
        <f t="shared" si="5"/>
        <v>0.97086957458672651</v>
      </c>
      <c r="J33" s="76">
        <f t="shared" si="5"/>
        <v>0.97554176199030684</v>
      </c>
      <c r="K33" s="76">
        <f t="shared" si="5"/>
        <v>0.98008387306565381</v>
      </c>
      <c r="L33" s="76">
        <f t="shared" si="5"/>
        <v>0.98288750400281877</v>
      </c>
      <c r="M33" s="76">
        <f t="shared" si="5"/>
        <v>0.98507728481589751</v>
      </c>
      <c r="N33" s="76">
        <f t="shared" si="5"/>
        <v>0.98545950556214812</v>
      </c>
      <c r="O33" s="76">
        <f t="shared" si="5"/>
        <v>0.98663361817216866</v>
      </c>
      <c r="P33" s="76">
        <f t="shared" si="5"/>
        <v>0.98828689459297669</v>
      </c>
      <c r="Q33" s="76">
        <f t="shared" si="5"/>
        <v>0.98829620859119527</v>
      </c>
      <c r="R33" s="76">
        <f t="shared" si="5"/>
        <v>0.98706804518409685</v>
      </c>
      <c r="S33" s="76">
        <f t="shared" si="5"/>
        <v>0.98468159219329443</v>
      </c>
      <c r="T33" s="76">
        <f t="shared" si="5"/>
        <v>0.98168893269926105</v>
      </c>
      <c r="U33" s="76">
        <f t="shared" si="5"/>
        <v>0.98241613628924485</v>
      </c>
      <c r="V33" s="76">
        <f t="shared" si="5"/>
        <v>0.98326861872951132</v>
      </c>
      <c r="W33" s="76">
        <f t="shared" si="5"/>
        <v>0.98250255628787386</v>
      </c>
      <c r="X33" s="76">
        <f t="shared" si="5"/>
        <v>0.98030022276346285</v>
      </c>
      <c r="Y33" s="76">
        <f t="shared" si="5"/>
        <v>0.97768722307994327</v>
      </c>
      <c r="Z33" s="76">
        <f t="shared" si="5"/>
        <v>0.97746777254608608</v>
      </c>
      <c r="AA33" s="76">
        <f t="shared" si="5"/>
        <v>0.97994477270404634</v>
      </c>
      <c r="AB33" s="76">
        <f t="shared" si="5"/>
        <v>0.98127927139843352</v>
      </c>
      <c r="AC33" s="76">
        <f t="shared" si="5"/>
        <v>0.9834149658284278</v>
      </c>
      <c r="AD33" s="76">
        <f t="shared" si="5"/>
        <v>0.98489892721892858</v>
      </c>
      <c r="AE33" s="76">
        <f t="shared" si="5"/>
        <v>0.98658199462636298</v>
      </c>
      <c r="AF33" s="76">
        <f t="shared" si="5"/>
        <v>0.9886943850656118</v>
      </c>
      <c r="AG33" s="76">
        <f t="shared" si="5"/>
        <v>0.98980954321837367</v>
      </c>
      <c r="AH33" s="76">
        <f t="shared" si="5"/>
        <v>0.99015893669011912</v>
      </c>
      <c r="AI33" s="76">
        <f t="shared" si="5"/>
        <v>0.99036570427256787</v>
      </c>
      <c r="AJ33" s="76">
        <f t="shared" si="5"/>
        <v>0.99179059139971792</v>
      </c>
      <c r="AK33" s="76">
        <f t="shared" si="5"/>
        <v>0.9929642657529888</v>
      </c>
      <c r="AL33" s="76">
        <f t="shared" si="5"/>
        <v>0.99285079726843706</v>
      </c>
      <c r="AM33" s="76">
        <f t="shared" si="5"/>
        <v>0.99271967733897759</v>
      </c>
      <c r="AN33" s="76">
        <f t="shared" si="5"/>
        <v>0.99259035140953433</v>
      </c>
      <c r="AO33" s="76">
        <f t="shared" si="5"/>
        <v>0.99199822639259772</v>
      </c>
      <c r="AP33" s="76">
        <f t="shared" si="5"/>
        <v>0.99161786162603738</v>
      </c>
      <c r="AQ33" s="76">
        <f t="shared" si="5"/>
        <v>0.99068715338341351</v>
      </c>
      <c r="AR33" s="76">
        <f t="shared" si="5"/>
        <v>0.99052949722975625</v>
      </c>
      <c r="AS33" s="76">
        <f t="shared" si="5"/>
        <v>0.99008819721098285</v>
      </c>
      <c r="AT33" s="76">
        <f t="shared" si="5"/>
        <v>0.98958723517192726</v>
      </c>
      <c r="AU33" s="76">
        <f t="shared" si="5"/>
        <v>0.98814196879441241</v>
      </c>
      <c r="AV33" s="76">
        <f t="shared" si="5"/>
        <v>0.9888969176775283</v>
      </c>
      <c r="AW33" s="76">
        <f t="shared" si="5"/>
        <v>0.98798726689018934</v>
      </c>
      <c r="AX33" s="76">
        <f t="shared" si="5"/>
        <v>0.98832828277729123</v>
      </c>
      <c r="AY33" s="76">
        <f t="shared" si="5"/>
        <v>0.98720162022106828</v>
      </c>
      <c r="AZ33" s="76">
        <f t="shared" si="5"/>
        <v>0.98750906316192288</v>
      </c>
      <c r="BA33" s="76">
        <f t="shared" si="5"/>
        <v>0.98712586432955352</v>
      </c>
      <c r="BB33" s="76">
        <f t="shared" si="5"/>
        <v>0.98781777414006433</v>
      </c>
      <c r="BC33" s="76">
        <f t="shared" si="5"/>
        <v>0.98727797771311732</v>
      </c>
      <c r="BD33" s="76">
        <f t="shared" si="5"/>
        <v>0.98704948821737681</v>
      </c>
      <c r="BE33" s="76">
        <f t="shared" si="5"/>
        <v>0.98705989502854352</v>
      </c>
      <c r="BF33" s="76">
        <f t="shared" si="5"/>
        <v>0.98639922263894919</v>
      </c>
      <c r="BG33" s="76">
        <f t="shared" si="5"/>
        <v>0.98595648725474927</v>
      </c>
      <c r="BH33" s="76">
        <f t="shared" si="5"/>
        <v>0.98564426542800798</v>
      </c>
      <c r="BI33" s="76">
        <f t="shared" si="5"/>
        <v>0.98535416248548557</v>
      </c>
      <c r="BJ33" s="76">
        <f t="shared" si="5"/>
        <v>0.98541977125381441</v>
      </c>
      <c r="BK33" s="77">
        <f t="shared" si="5"/>
        <v>0.98477569468655513</v>
      </c>
    </row>
    <row r="34" spans="2:63" s="69" customFormat="1">
      <c r="B34" s="70" t="s">
        <v>271</v>
      </c>
      <c r="C34" s="70" t="s">
        <v>279</v>
      </c>
      <c r="D34" s="76">
        <f>D259</f>
        <v>4.5435624158031776E-2</v>
      </c>
      <c r="E34" s="76">
        <f t="shared" ref="E34:M34" si="6">E259</f>
        <v>4.8435624158031779E-2</v>
      </c>
      <c r="F34" s="76">
        <f t="shared" si="6"/>
        <v>5.1435624158031781E-2</v>
      </c>
      <c r="G34" s="76">
        <f t="shared" si="6"/>
        <v>5.4435624158031784E-2</v>
      </c>
      <c r="H34" s="76">
        <f t="shared" si="6"/>
        <v>5.7435624158031787E-2</v>
      </c>
      <c r="I34" s="76">
        <f t="shared" si="6"/>
        <v>6.0435624158031789E-2</v>
      </c>
      <c r="J34" s="76">
        <f t="shared" si="6"/>
        <v>6.3435624158031792E-2</v>
      </c>
      <c r="K34" s="76">
        <f t="shared" si="6"/>
        <v>6.6435624158031795E-2</v>
      </c>
      <c r="L34" s="76">
        <f t="shared" si="6"/>
        <v>6.9435624158031797E-2</v>
      </c>
      <c r="M34" s="76">
        <f t="shared" si="6"/>
        <v>7.24356241580318E-2</v>
      </c>
      <c r="N34" s="76">
        <f t="shared" ref="N34:BK34" si="7">1-N36-N35</f>
        <v>7.5435624158031844E-2</v>
      </c>
      <c r="O34" s="76">
        <f t="shared" si="7"/>
        <v>7.8852475836911684E-2</v>
      </c>
      <c r="P34" s="76">
        <f t="shared" si="7"/>
        <v>8.3503023520661079E-2</v>
      </c>
      <c r="Q34" s="76">
        <f t="shared" si="7"/>
        <v>8.5789866466366216E-2</v>
      </c>
      <c r="R34" s="76">
        <f t="shared" si="7"/>
        <v>8.9376904871638518E-2</v>
      </c>
      <c r="S34" s="76">
        <f t="shared" si="7"/>
        <v>8.8697332608159818E-2</v>
      </c>
      <c r="T34" s="76">
        <f t="shared" si="7"/>
        <v>8.6549691534662743E-2</v>
      </c>
      <c r="U34" s="76">
        <f t="shared" si="7"/>
        <v>9.1094614457192469E-2</v>
      </c>
      <c r="V34" s="76">
        <f t="shared" si="7"/>
        <v>9.1805532966471759E-2</v>
      </c>
      <c r="W34" s="76">
        <f t="shared" si="7"/>
        <v>9.1053710147443567E-2</v>
      </c>
      <c r="X34" s="76">
        <f t="shared" si="7"/>
        <v>9.5357305719250829E-2</v>
      </c>
      <c r="Y34" s="76">
        <f t="shared" si="7"/>
        <v>0.10076975190374204</v>
      </c>
      <c r="Z34" s="76">
        <f t="shared" si="7"/>
        <v>0.10381737597207297</v>
      </c>
      <c r="AA34" s="76">
        <f t="shared" si="7"/>
        <v>0.10088066719290756</v>
      </c>
      <c r="AB34" s="76">
        <f t="shared" si="7"/>
        <v>0.10112060882338758</v>
      </c>
      <c r="AC34" s="76">
        <f t="shared" si="7"/>
        <v>0.10344298557106479</v>
      </c>
      <c r="AD34" s="76">
        <f t="shared" si="7"/>
        <v>0.10551876553928574</v>
      </c>
      <c r="AE34" s="76">
        <f t="shared" si="7"/>
        <v>0.11604319949188069</v>
      </c>
      <c r="AF34" s="76">
        <f t="shared" si="7"/>
        <v>0.13131077021998738</v>
      </c>
      <c r="AG34" s="76">
        <f t="shared" si="7"/>
        <v>0.18308705878705833</v>
      </c>
      <c r="AH34" s="76">
        <f t="shared" si="7"/>
        <v>0.22706424408819337</v>
      </c>
      <c r="AI34" s="76">
        <f t="shared" si="7"/>
        <v>0.25712849219513489</v>
      </c>
      <c r="AJ34" s="76">
        <f t="shared" si="7"/>
        <v>0.29123310372343347</v>
      </c>
      <c r="AK34" s="76">
        <f t="shared" si="7"/>
        <v>0.32501606863542298</v>
      </c>
      <c r="AL34" s="76">
        <f t="shared" si="7"/>
        <v>0.36632547502550672</v>
      </c>
      <c r="AM34" s="76">
        <f t="shared" si="7"/>
        <v>0.39770004236065887</v>
      </c>
      <c r="AN34" s="76">
        <f t="shared" si="7"/>
        <v>0.4219003351656605</v>
      </c>
      <c r="AO34" s="76">
        <f t="shared" si="7"/>
        <v>0.44456086233744463</v>
      </c>
      <c r="AP34" s="76">
        <f t="shared" si="7"/>
        <v>0.45826593465709747</v>
      </c>
      <c r="AQ34" s="76">
        <f t="shared" si="7"/>
        <v>0.48194075696589023</v>
      </c>
      <c r="AR34" s="76">
        <f t="shared" si="7"/>
        <v>0.49882365523973893</v>
      </c>
      <c r="AS34" s="76">
        <f t="shared" si="7"/>
        <v>0.51509572768953982</v>
      </c>
      <c r="AT34" s="76">
        <f t="shared" si="7"/>
        <v>0.53130430500482095</v>
      </c>
      <c r="AU34" s="76">
        <f t="shared" si="7"/>
        <v>0.54618037415692433</v>
      </c>
      <c r="AV34" s="76">
        <f t="shared" si="7"/>
        <v>0.56287817084313674</v>
      </c>
      <c r="AW34" s="76">
        <f t="shared" si="7"/>
        <v>0.57901174816904621</v>
      </c>
      <c r="AX34" s="76">
        <f t="shared" si="7"/>
        <v>0.59391252353197777</v>
      </c>
      <c r="AY34" s="76">
        <f t="shared" si="7"/>
        <v>0.60680427812644999</v>
      </c>
      <c r="AZ34" s="76">
        <f t="shared" si="7"/>
        <v>0.62808450125601145</v>
      </c>
      <c r="BA34" s="76">
        <f t="shared" si="7"/>
        <v>0.64644414458305</v>
      </c>
      <c r="BB34" s="76">
        <f t="shared" si="7"/>
        <v>0.64738521382653813</v>
      </c>
      <c r="BC34" s="76">
        <f t="shared" si="7"/>
        <v>0.66408863369380777</v>
      </c>
      <c r="BD34" s="76">
        <f t="shared" si="7"/>
        <v>0.6752181586659558</v>
      </c>
      <c r="BE34" s="76">
        <f t="shared" si="7"/>
        <v>0.67927440458788058</v>
      </c>
      <c r="BF34" s="76">
        <f t="shared" si="7"/>
        <v>0.6829891730757911</v>
      </c>
      <c r="BG34" s="76">
        <f t="shared" si="7"/>
        <v>0.68451219605605329</v>
      </c>
      <c r="BH34" s="76">
        <f t="shared" si="7"/>
        <v>0.69061723206623604</v>
      </c>
      <c r="BI34" s="76">
        <f t="shared" si="7"/>
        <v>0.69273636956892637</v>
      </c>
      <c r="BJ34" s="76">
        <f t="shared" si="7"/>
        <v>0.69236078823845881</v>
      </c>
      <c r="BK34" s="77">
        <f t="shared" si="7"/>
        <v>0.70488455433262587</v>
      </c>
    </row>
    <row r="35" spans="2:63" s="69" customFormat="1">
      <c r="B35" s="70" t="s">
        <v>271</v>
      </c>
      <c r="C35" s="70" t="s">
        <v>280</v>
      </c>
      <c r="D35" s="76">
        <f t="shared" ref="D35:M35" si="8">1-D34-D36</f>
        <v>0.68905691108964007</v>
      </c>
      <c r="E35" s="76">
        <f t="shared" si="8"/>
        <v>0.68935181264092316</v>
      </c>
      <c r="F35" s="76">
        <f t="shared" si="8"/>
        <v>0.69364142176594268</v>
      </c>
      <c r="G35" s="76">
        <f t="shared" si="8"/>
        <v>0.70129167237332113</v>
      </c>
      <c r="H35" s="76">
        <f t="shared" si="8"/>
        <v>0.71125802132223159</v>
      </c>
      <c r="I35" s="76">
        <f t="shared" si="8"/>
        <v>0.7208123108330875</v>
      </c>
      <c r="J35" s="76">
        <f t="shared" si="8"/>
        <v>0.71979681165961085</v>
      </c>
      <c r="K35" s="76">
        <f t="shared" si="8"/>
        <v>0.72067509789256456</v>
      </c>
      <c r="L35" s="76">
        <f t="shared" si="8"/>
        <v>0.72291798417076225</v>
      </c>
      <c r="M35" s="76">
        <f t="shared" si="8"/>
        <v>0.72090794734554642</v>
      </c>
      <c r="N35" s="76">
        <f t="shared" ref="N35:BK35" si="9">N262/N282</f>
        <v>0.72116702696372859</v>
      </c>
      <c r="O35" s="76">
        <f t="shared" si="9"/>
        <v>0.72358215748980481</v>
      </c>
      <c r="P35" s="76">
        <f t="shared" si="9"/>
        <v>0.72316033029043902</v>
      </c>
      <c r="Q35" s="76">
        <f t="shared" si="9"/>
        <v>0.72896863421398395</v>
      </c>
      <c r="R35" s="76">
        <f t="shared" si="9"/>
        <v>0.73562981770216018</v>
      </c>
      <c r="S35" s="76">
        <f t="shared" si="9"/>
        <v>0.73785991264121964</v>
      </c>
      <c r="T35" s="76">
        <f t="shared" si="9"/>
        <v>0.74305185340073276</v>
      </c>
      <c r="U35" s="76">
        <f t="shared" si="9"/>
        <v>0.74207864009368707</v>
      </c>
      <c r="V35" s="76">
        <f t="shared" si="9"/>
        <v>0.74416947218011464</v>
      </c>
      <c r="W35" s="76">
        <f t="shared" si="9"/>
        <v>0.74649995581704287</v>
      </c>
      <c r="X35" s="76">
        <f t="shared" si="9"/>
        <v>0.73192913051313357</v>
      </c>
      <c r="Y35" s="76">
        <f t="shared" si="9"/>
        <v>0.72242052773792209</v>
      </c>
      <c r="Z35" s="76">
        <f t="shared" si="9"/>
        <v>0.71628554426899937</v>
      </c>
      <c r="AA35" s="76">
        <f t="shared" si="9"/>
        <v>0.71495417618770574</v>
      </c>
      <c r="AB35" s="76">
        <f t="shared" si="9"/>
        <v>0.71609310862440179</v>
      </c>
      <c r="AC35" s="76">
        <f t="shared" si="9"/>
        <v>0.72465656101380627</v>
      </c>
      <c r="AD35" s="76">
        <f t="shared" si="9"/>
        <v>0.72635483910550169</v>
      </c>
      <c r="AE35" s="76">
        <f t="shared" si="9"/>
        <v>0.71747582929416054</v>
      </c>
      <c r="AF35" s="76">
        <f t="shared" si="9"/>
        <v>0.70691488949473169</v>
      </c>
      <c r="AG35" s="76">
        <f t="shared" si="9"/>
        <v>0.65282536419335935</v>
      </c>
      <c r="AH35" s="76">
        <f t="shared" si="9"/>
        <v>0.61456056532521119</v>
      </c>
      <c r="AI35" s="76">
        <f t="shared" si="9"/>
        <v>0.5812867458731148</v>
      </c>
      <c r="AJ35" s="76">
        <f t="shared" si="9"/>
        <v>0.55560881795094219</v>
      </c>
      <c r="AK35" s="76">
        <f t="shared" si="9"/>
        <v>0.53096802268368171</v>
      </c>
      <c r="AL35" s="76">
        <f t="shared" si="9"/>
        <v>0.50040137418509556</v>
      </c>
      <c r="AM35" s="76">
        <f t="shared" si="9"/>
        <v>0.47262346691767693</v>
      </c>
      <c r="AN35" s="76">
        <f t="shared" si="9"/>
        <v>0.45524406705975518</v>
      </c>
      <c r="AO35" s="76">
        <f t="shared" si="9"/>
        <v>0.43761435155889661</v>
      </c>
      <c r="AP35" s="76">
        <f t="shared" si="9"/>
        <v>0.42823910642246615</v>
      </c>
      <c r="AQ35" s="76">
        <f t="shared" si="9"/>
        <v>0.41071891872806088</v>
      </c>
      <c r="AR35" s="76">
        <f t="shared" si="9"/>
        <v>0.40122476668317586</v>
      </c>
      <c r="AS35" s="76">
        <f t="shared" si="9"/>
        <v>0.38998438674534647</v>
      </c>
      <c r="AT35" s="76">
        <f t="shared" si="9"/>
        <v>0.37899380907659602</v>
      </c>
      <c r="AU35" s="76">
        <f t="shared" si="9"/>
        <v>0.36588870067206647</v>
      </c>
      <c r="AV35" s="76">
        <f t="shared" si="9"/>
        <v>0.35665561129664175</v>
      </c>
      <c r="AW35" s="76">
        <f t="shared" si="9"/>
        <v>0.34441627306457206</v>
      </c>
      <c r="AX35" s="76">
        <f t="shared" si="9"/>
        <v>0.33149283385199096</v>
      </c>
      <c r="AY35" s="76">
        <f t="shared" si="9"/>
        <v>0.3204824722599911</v>
      </c>
      <c r="AZ35" s="76">
        <f t="shared" si="9"/>
        <v>0.30580792752653602</v>
      </c>
      <c r="BA35" s="76">
        <f t="shared" si="9"/>
        <v>0.28645544376964738</v>
      </c>
      <c r="BB35" s="76">
        <f t="shared" si="9"/>
        <v>0.28602395463645286</v>
      </c>
      <c r="BC35" s="76">
        <f t="shared" si="9"/>
        <v>0.27538060799928665</v>
      </c>
      <c r="BD35" s="76">
        <f t="shared" si="9"/>
        <v>0.26845326430809341</v>
      </c>
      <c r="BE35" s="76">
        <f t="shared" si="9"/>
        <v>0.26466651725893842</v>
      </c>
      <c r="BF35" s="76">
        <f t="shared" si="9"/>
        <v>0.26303559613927113</v>
      </c>
      <c r="BG35" s="76">
        <f t="shared" si="9"/>
        <v>0.26548912760329313</v>
      </c>
      <c r="BH35" s="76">
        <f t="shared" si="9"/>
        <v>0.2638190771865897</v>
      </c>
      <c r="BI35" s="76">
        <f t="shared" si="9"/>
        <v>0.26426123043848387</v>
      </c>
      <c r="BJ35" s="76">
        <f t="shared" si="9"/>
        <v>0.26661368529762924</v>
      </c>
      <c r="BK35" s="77">
        <f t="shared" si="9"/>
        <v>0.25547256811199875</v>
      </c>
    </row>
    <row r="36" spans="2:63" s="69" customFormat="1">
      <c r="B36" s="70" t="s">
        <v>271</v>
      </c>
      <c r="C36" s="70" t="s">
        <v>281</v>
      </c>
      <c r="D36" s="76">
        <f>D275/D282</f>
        <v>0.26550746475232806</v>
      </c>
      <c r="E36" s="76">
        <f t="shared" ref="E36:BI36" si="10">E275/E282</f>
        <v>0.26221256320104502</v>
      </c>
      <c r="F36" s="76">
        <f t="shared" si="10"/>
        <v>0.2549229540760255</v>
      </c>
      <c r="G36" s="76">
        <f t="shared" si="10"/>
        <v>0.24427270346864707</v>
      </c>
      <c r="H36" s="76">
        <f t="shared" si="10"/>
        <v>0.23130635451973658</v>
      </c>
      <c r="I36" s="76">
        <f t="shared" si="10"/>
        <v>0.21875206500888067</v>
      </c>
      <c r="J36" s="76">
        <f t="shared" si="10"/>
        <v>0.21676756418235729</v>
      </c>
      <c r="K36" s="76">
        <f t="shared" si="10"/>
        <v>0.21288927794940363</v>
      </c>
      <c r="L36" s="76">
        <f t="shared" si="10"/>
        <v>0.20764639167120597</v>
      </c>
      <c r="M36" s="76">
        <f t="shared" si="10"/>
        <v>0.20665642849642168</v>
      </c>
      <c r="N36" s="76">
        <f t="shared" si="10"/>
        <v>0.2033973488782396</v>
      </c>
      <c r="O36" s="76">
        <f t="shared" si="10"/>
        <v>0.19756536667328345</v>
      </c>
      <c r="P36" s="76">
        <f t="shared" si="10"/>
        <v>0.19333664618889995</v>
      </c>
      <c r="Q36" s="76">
        <f t="shared" si="10"/>
        <v>0.18524149931964984</v>
      </c>
      <c r="R36" s="76">
        <f t="shared" si="10"/>
        <v>0.17499327742620135</v>
      </c>
      <c r="S36" s="76">
        <f t="shared" si="10"/>
        <v>0.17344275475062049</v>
      </c>
      <c r="T36" s="76">
        <f t="shared" si="10"/>
        <v>0.17039845506460449</v>
      </c>
      <c r="U36" s="76">
        <f t="shared" si="10"/>
        <v>0.16682674544912049</v>
      </c>
      <c r="V36" s="76">
        <f t="shared" si="10"/>
        <v>0.1640249948534136</v>
      </c>
      <c r="W36" s="76">
        <f t="shared" si="10"/>
        <v>0.16244633403551351</v>
      </c>
      <c r="X36" s="76">
        <f t="shared" si="10"/>
        <v>0.17271356376761565</v>
      </c>
      <c r="Y36" s="76">
        <f t="shared" si="10"/>
        <v>0.17680972035833592</v>
      </c>
      <c r="Z36" s="76">
        <f t="shared" si="10"/>
        <v>0.17989707975892766</v>
      </c>
      <c r="AA36" s="76">
        <f t="shared" si="10"/>
        <v>0.18416515661938668</v>
      </c>
      <c r="AB36" s="76">
        <f t="shared" si="10"/>
        <v>0.18278628255221058</v>
      </c>
      <c r="AC36" s="76">
        <f t="shared" si="10"/>
        <v>0.17190045341512897</v>
      </c>
      <c r="AD36" s="76">
        <f t="shared" si="10"/>
        <v>0.16812639535521262</v>
      </c>
      <c r="AE36" s="76">
        <f t="shared" si="10"/>
        <v>0.16648097121395877</v>
      </c>
      <c r="AF36" s="76">
        <f t="shared" si="10"/>
        <v>0.16177434028528093</v>
      </c>
      <c r="AG36" s="76">
        <f t="shared" si="10"/>
        <v>0.16408757701958232</v>
      </c>
      <c r="AH36" s="76">
        <f t="shared" si="10"/>
        <v>0.15837519058659541</v>
      </c>
      <c r="AI36" s="76">
        <f t="shared" si="10"/>
        <v>0.16158476193175034</v>
      </c>
      <c r="AJ36" s="76">
        <f t="shared" si="10"/>
        <v>0.15315807832562428</v>
      </c>
      <c r="AK36" s="76">
        <f t="shared" si="10"/>
        <v>0.14401590868089531</v>
      </c>
      <c r="AL36" s="76">
        <f t="shared" si="10"/>
        <v>0.13327315078939772</v>
      </c>
      <c r="AM36" s="76">
        <f t="shared" si="10"/>
        <v>0.12967649072166423</v>
      </c>
      <c r="AN36" s="76">
        <f t="shared" si="10"/>
        <v>0.12285559777458431</v>
      </c>
      <c r="AO36" s="76">
        <f t="shared" si="10"/>
        <v>0.11782478610365882</v>
      </c>
      <c r="AP36" s="76">
        <f t="shared" si="10"/>
        <v>0.11349495892043633</v>
      </c>
      <c r="AQ36" s="76">
        <f t="shared" si="10"/>
        <v>0.10734032430604891</v>
      </c>
      <c r="AR36" s="76">
        <f t="shared" si="10"/>
        <v>9.995157807708524E-2</v>
      </c>
      <c r="AS36" s="76">
        <f t="shared" si="10"/>
        <v>9.4919885565113701E-2</v>
      </c>
      <c r="AT36" s="76">
        <f t="shared" si="10"/>
        <v>8.9701885918583107E-2</v>
      </c>
      <c r="AU36" s="76">
        <f t="shared" si="10"/>
        <v>8.7930925171009228E-2</v>
      </c>
      <c r="AV36" s="76">
        <f t="shared" si="10"/>
        <v>8.0466217860221623E-2</v>
      </c>
      <c r="AW36" s="76">
        <f t="shared" si="10"/>
        <v>7.6571978766381624E-2</v>
      </c>
      <c r="AX36" s="76">
        <f t="shared" si="10"/>
        <v>7.4594642616031326E-2</v>
      </c>
      <c r="AY36" s="76">
        <f t="shared" si="10"/>
        <v>7.2713249613559003E-2</v>
      </c>
      <c r="AZ36" s="76">
        <f t="shared" si="10"/>
        <v>6.6107571217452477E-2</v>
      </c>
      <c r="BA36" s="76">
        <f t="shared" si="10"/>
        <v>6.7100411647302613E-2</v>
      </c>
      <c r="BB36" s="76">
        <f t="shared" si="10"/>
        <v>6.659083153700901E-2</v>
      </c>
      <c r="BC36" s="76">
        <f t="shared" si="10"/>
        <v>6.0530758306905574E-2</v>
      </c>
      <c r="BD36" s="76">
        <f t="shared" si="10"/>
        <v>5.6328577025950718E-2</v>
      </c>
      <c r="BE36" s="76">
        <f t="shared" si="10"/>
        <v>5.6059078153181049E-2</v>
      </c>
      <c r="BF36" s="76">
        <f t="shared" si="10"/>
        <v>5.3975230784937871E-2</v>
      </c>
      <c r="BG36" s="76">
        <f t="shared" si="10"/>
        <v>4.9998676340653553E-2</v>
      </c>
      <c r="BH36" s="76">
        <f t="shared" si="10"/>
        <v>4.5563690747174208E-2</v>
      </c>
      <c r="BI36" s="76">
        <f t="shared" si="10"/>
        <v>4.3002399992589743E-2</v>
      </c>
      <c r="BJ36" s="76">
        <f>BJ275/BJ282</f>
        <v>4.1025526463911881E-2</v>
      </c>
      <c r="BK36" s="77">
        <f>BK275/BK282</f>
        <v>3.9642877555375294E-2</v>
      </c>
    </row>
    <row r="37" spans="2:63">
      <c r="C37" s="66" t="s">
        <v>282</v>
      </c>
      <c r="D37" s="78">
        <f t="shared" ref="D37:BB37" si="11">D25*D107/D109+D26*D108/D109</f>
        <v>0.1476323969983431</v>
      </c>
      <c r="E37" s="78">
        <f t="shared" si="11"/>
        <v>0.14737477549663264</v>
      </c>
      <c r="F37" s="78">
        <f t="shared" si="11"/>
        <v>0.14720665278984113</v>
      </c>
      <c r="G37" s="78">
        <f t="shared" si="11"/>
        <v>0.14693632282650526</v>
      </c>
      <c r="H37" s="78">
        <f t="shared" si="11"/>
        <v>0.14699474954390571</v>
      </c>
      <c r="I37" s="78">
        <f t="shared" si="11"/>
        <v>0.14712766261102131</v>
      </c>
      <c r="J37" s="78">
        <f t="shared" si="11"/>
        <v>0.14715526432209963</v>
      </c>
      <c r="K37" s="78">
        <f t="shared" si="11"/>
        <v>0.14721276536470468</v>
      </c>
      <c r="L37" s="78">
        <f t="shared" si="11"/>
        <v>0.14714253099884542</v>
      </c>
      <c r="M37" s="78">
        <f t="shared" si="11"/>
        <v>0.1470219170470678</v>
      </c>
      <c r="N37" s="78">
        <f t="shared" si="11"/>
        <v>0.14731448983110493</v>
      </c>
      <c r="O37" s="78">
        <f t="shared" si="11"/>
        <v>0.14826435389099227</v>
      </c>
      <c r="P37" s="78">
        <f t="shared" si="11"/>
        <v>0.1482838052638546</v>
      </c>
      <c r="Q37" s="78">
        <f t="shared" si="11"/>
        <v>0.14655603255932026</v>
      </c>
      <c r="R37" s="78">
        <f t="shared" si="11"/>
        <v>0.14742886447929587</v>
      </c>
      <c r="S37" s="78">
        <f t="shared" si="11"/>
        <v>0.15038395704616864</v>
      </c>
      <c r="T37" s="78">
        <f t="shared" si="11"/>
        <v>0.15097919176027386</v>
      </c>
      <c r="U37" s="78">
        <f t="shared" si="11"/>
        <v>0.14959403190149748</v>
      </c>
      <c r="V37" s="78">
        <f t="shared" si="11"/>
        <v>0.14839958180534024</v>
      </c>
      <c r="W37" s="78">
        <f t="shared" si="11"/>
        <v>0.14576692464765056</v>
      </c>
      <c r="X37" s="78">
        <f t="shared" si="11"/>
        <v>0.15103438421765719</v>
      </c>
      <c r="Y37" s="78">
        <f t="shared" si="11"/>
        <v>0.15624280973589752</v>
      </c>
      <c r="Z37" s="78">
        <f t="shared" si="11"/>
        <v>0.15560588612679752</v>
      </c>
      <c r="AA37" s="78">
        <f t="shared" si="11"/>
        <v>0.15353979730006817</v>
      </c>
      <c r="AB37" s="78">
        <f t="shared" si="11"/>
        <v>0.1536492079551918</v>
      </c>
      <c r="AC37" s="78">
        <f t="shared" si="11"/>
        <v>0.15373765628213434</v>
      </c>
      <c r="AD37" s="78">
        <f t="shared" si="11"/>
        <v>0.15150021822975207</v>
      </c>
      <c r="AE37" s="78">
        <f t="shared" si="11"/>
        <v>0.15544832173340575</v>
      </c>
      <c r="AF37" s="78">
        <f t="shared" si="11"/>
        <v>0.15666457792038513</v>
      </c>
      <c r="AG37" s="78">
        <f t="shared" si="11"/>
        <v>0.1620630073876142</v>
      </c>
      <c r="AH37" s="78">
        <f t="shared" si="11"/>
        <v>0.16188834975884048</v>
      </c>
      <c r="AI37" s="78">
        <f t="shared" si="11"/>
        <v>0.16380333004182024</v>
      </c>
      <c r="AJ37" s="78">
        <f t="shared" si="11"/>
        <v>0.16341799076027963</v>
      </c>
      <c r="AK37" s="78">
        <f t="shared" si="11"/>
        <v>0.16363943196063907</v>
      </c>
      <c r="AL37" s="78">
        <f t="shared" si="11"/>
        <v>0.16761797735091172</v>
      </c>
      <c r="AM37" s="78">
        <f t="shared" si="11"/>
        <v>0.17280925964951135</v>
      </c>
      <c r="AN37" s="78">
        <f t="shared" si="11"/>
        <v>0.17235572056943183</v>
      </c>
      <c r="AO37" s="78">
        <f t="shared" si="11"/>
        <v>0.17449822558383216</v>
      </c>
      <c r="AP37" s="78">
        <f t="shared" si="11"/>
        <v>0.17826846659643902</v>
      </c>
      <c r="AQ37" s="78">
        <f t="shared" si="11"/>
        <v>0.18046989220059995</v>
      </c>
      <c r="AR37" s="78">
        <f t="shared" si="11"/>
        <v>0.18181702415271833</v>
      </c>
      <c r="AS37" s="78">
        <f t="shared" si="11"/>
        <v>0.18471155931589189</v>
      </c>
      <c r="AT37" s="78">
        <f t="shared" si="11"/>
        <v>0.18622494512141635</v>
      </c>
      <c r="AU37" s="78">
        <f t="shared" si="11"/>
        <v>0.18886851144236205</v>
      </c>
      <c r="AV37" s="78">
        <f t="shared" si="11"/>
        <v>0.19103382672555214</v>
      </c>
      <c r="AW37" s="78">
        <f t="shared" si="11"/>
        <v>0.19160348473924482</v>
      </c>
      <c r="AX37" s="78">
        <f t="shared" si="11"/>
        <v>0.19488977526536094</v>
      </c>
      <c r="AY37" s="78">
        <f t="shared" si="11"/>
        <v>0.19610847920359231</v>
      </c>
      <c r="AZ37" s="78">
        <f t="shared" si="11"/>
        <v>0.20164895615601192</v>
      </c>
      <c r="BA37" s="78">
        <f t="shared" si="11"/>
        <v>0.2059314386862432</v>
      </c>
      <c r="BB37" s="78">
        <f t="shared" si="11"/>
        <v>0.20793225118918743</v>
      </c>
    </row>
    <row r="38" spans="2:63">
      <c r="N38" s="79" t="s">
        <v>283</v>
      </c>
    </row>
    <row r="39" spans="2:63">
      <c r="C39" s="66" t="s">
        <v>284</v>
      </c>
      <c r="D39" s="80">
        <f>D271*0.833</f>
        <v>36.842289298057942</v>
      </c>
      <c r="E39" s="80">
        <f t="shared" ref="E39:BJ39" si="12">E271*0.833</f>
        <v>37.021741402625537</v>
      </c>
      <c r="F39" s="80">
        <f t="shared" si="12"/>
        <v>37.202067585825247</v>
      </c>
      <c r="G39" s="80">
        <f t="shared" si="12"/>
        <v>37.383272105135454</v>
      </c>
      <c r="H39" s="80">
        <f t="shared" si="12"/>
        <v>37.56535923877194</v>
      </c>
      <c r="I39" s="80">
        <f t="shared" si="12"/>
        <v>37.748333285788902</v>
      </c>
      <c r="J39" s="80">
        <f t="shared" si="12"/>
        <v>37.932198566180439</v>
      </c>
      <c r="K39" s="80">
        <f t="shared" si="12"/>
        <v>38.116959420982582</v>
      </c>
      <c r="L39" s="80">
        <f t="shared" si="12"/>
        <v>38.302620212375736</v>
      </c>
      <c r="M39" s="80">
        <f t="shared" si="12"/>
        <v>38.489185323787709</v>
      </c>
      <c r="N39" s="80">
        <f t="shared" si="12"/>
        <v>38.676659159997172</v>
      </c>
      <c r="O39" s="80">
        <f t="shared" si="12"/>
        <v>38.394054479955557</v>
      </c>
      <c r="P39" s="80">
        <f t="shared" si="12"/>
        <v>39.49341048322448</v>
      </c>
      <c r="Q39" s="80">
        <f t="shared" si="12"/>
        <v>38.735642322421498</v>
      </c>
      <c r="R39" s="80">
        <f t="shared" si="12"/>
        <v>39.012097582422754</v>
      </c>
      <c r="S39" s="80">
        <f t="shared" si="12"/>
        <v>41.427793009543315</v>
      </c>
      <c r="T39" s="80">
        <f t="shared" si="12"/>
        <v>40.333289452088614</v>
      </c>
      <c r="U39" s="80">
        <f t="shared" si="12"/>
        <v>40.887712092300085</v>
      </c>
      <c r="V39" s="80">
        <f t="shared" si="12"/>
        <v>39.533905485625638</v>
      </c>
      <c r="W39" s="80">
        <f t="shared" si="12"/>
        <v>39.066854547769907</v>
      </c>
      <c r="X39" s="80">
        <f t="shared" si="12"/>
        <v>40.602361912875097</v>
      </c>
      <c r="Y39" s="80">
        <f t="shared" si="12"/>
        <v>42.009503309890619</v>
      </c>
      <c r="Z39" s="80">
        <f t="shared" si="12"/>
        <v>41.917504258121447</v>
      </c>
      <c r="AA39" s="80">
        <f t="shared" si="12"/>
        <v>42.264778727947892</v>
      </c>
      <c r="AB39" s="80">
        <f t="shared" si="12"/>
        <v>42.113126164620013</v>
      </c>
      <c r="AC39" s="80">
        <f t="shared" si="12"/>
        <v>43.36164369277369</v>
      </c>
      <c r="AD39" s="80">
        <f t="shared" si="12"/>
        <v>43.270207272474195</v>
      </c>
      <c r="AE39" s="80">
        <f t="shared" si="12"/>
        <v>44.98848135119669</v>
      </c>
      <c r="AF39" s="80">
        <f t="shared" si="12"/>
        <v>44.88320463064823</v>
      </c>
      <c r="AG39" s="80">
        <f t="shared" si="12"/>
        <v>48.390424014731835</v>
      </c>
      <c r="AH39" s="80">
        <f t="shared" si="12"/>
        <v>46.638535384763237</v>
      </c>
      <c r="AI39" s="80">
        <f t="shared" si="12"/>
        <v>46.834199676593983</v>
      </c>
      <c r="AJ39" s="80">
        <f t="shared" si="12"/>
        <v>45.225979182650917</v>
      </c>
      <c r="AK39" s="80">
        <f t="shared" si="12"/>
        <v>43.87052777854587</v>
      </c>
      <c r="AL39" s="80">
        <f t="shared" si="12"/>
        <v>44.961811518680442</v>
      </c>
      <c r="AM39" s="80">
        <f t="shared" si="12"/>
        <v>45.978794676115783</v>
      </c>
      <c r="AN39" s="80">
        <f t="shared" si="12"/>
        <v>44.250921320229658</v>
      </c>
      <c r="AO39" s="80">
        <f t="shared" si="12"/>
        <v>44.866048502259829</v>
      </c>
      <c r="AP39" s="80">
        <f t="shared" si="12"/>
        <v>45.382699384827625</v>
      </c>
      <c r="AQ39" s="80">
        <f t="shared" si="12"/>
        <v>44.120798660082109</v>
      </c>
      <c r="AR39" s="80">
        <f t="shared" si="12"/>
        <v>44.183011040342457</v>
      </c>
      <c r="AS39" s="80">
        <f t="shared" si="12"/>
        <v>46.253986589410268</v>
      </c>
      <c r="AT39" s="80">
        <f t="shared" si="12"/>
        <v>45.799268429708434</v>
      </c>
      <c r="AU39" s="80">
        <f t="shared" si="12"/>
        <v>46.123635374405055</v>
      </c>
      <c r="AV39" s="80">
        <f t="shared" si="12"/>
        <v>47.462710243417945</v>
      </c>
      <c r="AW39" s="80">
        <f t="shared" si="12"/>
        <v>46.785440531078372</v>
      </c>
      <c r="AX39" s="80">
        <f t="shared" si="12"/>
        <v>48.72140022508998</v>
      </c>
      <c r="AY39" s="80">
        <f t="shared" si="12"/>
        <v>48.543118242963835</v>
      </c>
      <c r="AZ39" s="80">
        <f t="shared" si="12"/>
        <v>48.342308546737108</v>
      </c>
      <c r="BA39" s="80">
        <f t="shared" si="12"/>
        <v>51.311568369941547</v>
      </c>
      <c r="BB39" s="80">
        <f t="shared" si="12"/>
        <v>52.701054157591898</v>
      </c>
      <c r="BC39" s="80">
        <f t="shared" si="12"/>
        <v>53.118328731768031</v>
      </c>
      <c r="BD39" s="80">
        <f t="shared" si="12"/>
        <v>54.813228705998398</v>
      </c>
      <c r="BE39" s="80">
        <f t="shared" si="12"/>
        <v>55.830317132075869</v>
      </c>
      <c r="BF39" s="80">
        <f t="shared" si="12"/>
        <v>56.251896640260547</v>
      </c>
      <c r="BG39" s="80">
        <f t="shared" si="12"/>
        <v>55.702452556410535</v>
      </c>
      <c r="BH39" s="80">
        <f t="shared" si="12"/>
        <v>57.106005338595267</v>
      </c>
      <c r="BI39" s="80">
        <f t="shared" si="12"/>
        <v>56.837838708832763</v>
      </c>
      <c r="BJ39" s="80">
        <f t="shared" si="12"/>
        <v>58.182234104263387</v>
      </c>
    </row>
    <row r="40" spans="2:63">
      <c r="C40" s="66" t="s">
        <v>285</v>
      </c>
      <c r="D40" s="80">
        <f t="shared" ref="D40:BJ41" si="13">((D232*D226+D244*D238)/(D226+D238))*0.833</f>
        <v>14.709429528290427</v>
      </c>
      <c r="E40" s="80">
        <f t="shared" si="13"/>
        <v>14.742581135975286</v>
      </c>
      <c r="F40" s="80">
        <f t="shared" si="13"/>
        <v>14.776948300353766</v>
      </c>
      <c r="G40" s="80">
        <f t="shared" si="13"/>
        <v>14.811242599871257</v>
      </c>
      <c r="H40" s="80">
        <f t="shared" si="13"/>
        <v>14.842634609472167</v>
      </c>
      <c r="I40" s="80">
        <f t="shared" si="13"/>
        <v>14.875099776695219</v>
      </c>
      <c r="J40" s="80">
        <f t="shared" si="13"/>
        <v>14.906800221787208</v>
      </c>
      <c r="K40" s="80">
        <f t="shared" si="13"/>
        <v>14.938252931406481</v>
      </c>
      <c r="L40" s="80">
        <f t="shared" si="13"/>
        <v>14.968633824030668</v>
      </c>
      <c r="M40" s="80">
        <f t="shared" si="13"/>
        <v>14.998590001475048</v>
      </c>
      <c r="N40" s="80">
        <f t="shared" si="13"/>
        <v>15.027561382146922</v>
      </c>
      <c r="O40" s="80">
        <f t="shared" si="13"/>
        <v>15.160498980810456</v>
      </c>
      <c r="P40" s="80">
        <f t="shared" si="13"/>
        <v>15.042179977295124</v>
      </c>
      <c r="Q40" s="80">
        <f t="shared" si="13"/>
        <v>14.849090647009419</v>
      </c>
      <c r="R40" s="80">
        <f t="shared" si="13"/>
        <v>14.982255194494078</v>
      </c>
      <c r="S40" s="80">
        <f t="shared" si="13"/>
        <v>15.457813814048457</v>
      </c>
      <c r="T40" s="80">
        <f t="shared" si="13"/>
        <v>15.505291185471133</v>
      </c>
      <c r="U40" s="80">
        <f t="shared" si="13"/>
        <v>15.346189694855832</v>
      </c>
      <c r="V40" s="80">
        <f t="shared" si="13"/>
        <v>15.091448334134808</v>
      </c>
      <c r="W40" s="80">
        <f t="shared" si="13"/>
        <v>14.750744237830176</v>
      </c>
      <c r="X40" s="80">
        <f t="shared" si="13"/>
        <v>15.339679492024993</v>
      </c>
      <c r="Y40" s="80">
        <f t="shared" si="13"/>
        <v>16.023349395410882</v>
      </c>
      <c r="Z40" s="80">
        <f t="shared" si="13"/>
        <v>16.046084413099472</v>
      </c>
      <c r="AA40" s="80">
        <f t="shared" si="13"/>
        <v>15.980930712481216</v>
      </c>
      <c r="AB40" s="80">
        <f t="shared" si="13"/>
        <v>16.260010137517199</v>
      </c>
      <c r="AC40" s="80">
        <f t="shared" si="13"/>
        <v>16.506808673316264</v>
      </c>
      <c r="AD40" s="80">
        <f t="shared" si="13"/>
        <v>16.467979845894682</v>
      </c>
      <c r="AE40" s="80">
        <f t="shared" si="13"/>
        <v>17.033069402519796</v>
      </c>
      <c r="AF40" s="80">
        <f t="shared" si="13"/>
        <v>17.326799330503768</v>
      </c>
      <c r="AG40" s="80">
        <f t="shared" si="13"/>
        <v>17.94517631644803</v>
      </c>
      <c r="AH40" s="80">
        <f t="shared" si="13"/>
        <v>17.422390447652823</v>
      </c>
      <c r="AI40" s="80">
        <f t="shared" si="13"/>
        <v>17.437117983540073</v>
      </c>
      <c r="AJ40" s="80">
        <f t="shared" si="13"/>
        <v>17.175418268987745</v>
      </c>
      <c r="AK40" s="80">
        <f t="shared" si="13"/>
        <v>16.950433181219175</v>
      </c>
      <c r="AL40" s="80">
        <f t="shared" si="13"/>
        <v>17.359164580000726</v>
      </c>
      <c r="AM40" s="80">
        <f t="shared" si="13"/>
        <v>17.857660448759002</v>
      </c>
      <c r="AN40" s="80">
        <f t="shared" si="13"/>
        <v>17.559502209250862</v>
      </c>
      <c r="AO40" s="80">
        <f t="shared" si="13"/>
        <v>17.665086728577673</v>
      </c>
      <c r="AP40" s="80">
        <f t="shared" si="13"/>
        <v>18.062030635226431</v>
      </c>
      <c r="AQ40" s="80">
        <f t="shared" si="13"/>
        <v>18.07934608084949</v>
      </c>
      <c r="AR40" s="80">
        <f t="shared" si="13"/>
        <v>18.088656550384844</v>
      </c>
      <c r="AS40" s="80">
        <f t="shared" si="13"/>
        <v>18.345795036702551</v>
      </c>
      <c r="AT40" s="80">
        <f t="shared" si="13"/>
        <v>18.397569385277862</v>
      </c>
      <c r="AU40" s="80">
        <f t="shared" si="13"/>
        <v>18.620757164169181</v>
      </c>
      <c r="AV40" s="80">
        <f t="shared" si="13"/>
        <v>18.685330438495477</v>
      </c>
      <c r="AW40" s="80">
        <f t="shared" si="13"/>
        <v>18.563373718479255</v>
      </c>
      <c r="AX40" s="80">
        <f t="shared" si="13"/>
        <v>18.835611011436097</v>
      </c>
      <c r="AY40" s="80">
        <f t="shared" si="13"/>
        <v>18.768516467732717</v>
      </c>
      <c r="AZ40" s="80">
        <f t="shared" si="13"/>
        <v>19.132486362702362</v>
      </c>
      <c r="BA40" s="80">
        <f t="shared" si="13"/>
        <v>19.645593248105957</v>
      </c>
      <c r="BB40" s="80">
        <f t="shared" si="13"/>
        <v>19.9964698743144</v>
      </c>
      <c r="BC40" s="80">
        <f t="shared" si="13"/>
        <v>20.389619604405148</v>
      </c>
      <c r="BD40" s="80">
        <f t="shared" si="13"/>
        <v>20.554386219529412</v>
      </c>
      <c r="BE40" s="80">
        <f t="shared" si="13"/>
        <v>20.995364359626457</v>
      </c>
      <c r="BF40" s="80">
        <f t="shared" si="13"/>
        <v>21.505725500055355</v>
      </c>
      <c r="BG40" s="80">
        <f t="shared" si="13"/>
        <v>21.728988407632173</v>
      </c>
      <c r="BH40" s="80">
        <f t="shared" si="13"/>
        <v>21.917104259731357</v>
      </c>
      <c r="BI40" s="80">
        <f t="shared" si="13"/>
        <v>22.379546908946459</v>
      </c>
      <c r="BJ40" s="80">
        <f t="shared" si="13"/>
        <v>23.065942536267727</v>
      </c>
    </row>
    <row r="41" spans="2:63">
      <c r="C41" s="66" t="s">
        <v>286</v>
      </c>
      <c r="D41" s="80">
        <f t="shared" si="13"/>
        <v>15.312895913868758</v>
      </c>
      <c r="E41" s="80">
        <f t="shared" si="13"/>
        <v>15.390431701135549</v>
      </c>
      <c r="F41" s="80">
        <f t="shared" si="13"/>
        <v>15.467989429284135</v>
      </c>
      <c r="G41" s="80">
        <f t="shared" si="13"/>
        <v>15.54559980320705</v>
      </c>
      <c r="H41" s="80">
        <f t="shared" si="13"/>
        <v>15.623291021297378</v>
      </c>
      <c r="I41" s="80">
        <f t="shared" si="13"/>
        <v>15.701089054920404</v>
      </c>
      <c r="J41" s="80">
        <f t="shared" si="13"/>
        <v>15.779017891607111</v>
      </c>
      <c r="K41" s="80">
        <f t="shared" si="13"/>
        <v>15.85709974734996</v>
      </c>
      <c r="L41" s="80">
        <f t="shared" si="13"/>
        <v>15.935355252488325</v>
      </c>
      <c r="M41" s="80">
        <f t="shared" si="13"/>
        <v>16.013803614941278</v>
      </c>
      <c r="N41" s="80">
        <f t="shared" si="13"/>
        <v>16.089937701515094</v>
      </c>
      <c r="O41" s="80">
        <f t="shared" si="13"/>
        <v>16.275378053821044</v>
      </c>
      <c r="P41" s="80">
        <f t="shared" si="13"/>
        <v>16.233974217997389</v>
      </c>
      <c r="Q41" s="80">
        <f t="shared" si="13"/>
        <v>16.05476408681033</v>
      </c>
      <c r="R41" s="80">
        <f t="shared" si="13"/>
        <v>16.120630052831771</v>
      </c>
      <c r="S41" s="80">
        <f t="shared" si="13"/>
        <v>16.670221758222681</v>
      </c>
      <c r="T41" s="80">
        <f t="shared" si="13"/>
        <v>16.795684087055822</v>
      </c>
      <c r="U41" s="80">
        <f t="shared" si="13"/>
        <v>16.58908968480446</v>
      </c>
      <c r="V41" s="80">
        <f t="shared" si="13"/>
        <v>16.447669537175859</v>
      </c>
      <c r="W41" s="80">
        <f t="shared" si="13"/>
        <v>16.109025771619642</v>
      </c>
      <c r="X41" s="80">
        <f t="shared" si="13"/>
        <v>16.81574949401406</v>
      </c>
      <c r="Y41" s="80">
        <f t="shared" si="13"/>
        <v>17.505538837331851</v>
      </c>
      <c r="Z41" s="80">
        <f t="shared" si="13"/>
        <v>17.461610434723948</v>
      </c>
      <c r="AA41" s="80">
        <f t="shared" si="13"/>
        <v>17.34075522389745</v>
      </c>
      <c r="AB41" s="80">
        <f t="shared" si="13"/>
        <v>17.483726296180148</v>
      </c>
      <c r="AC41" s="80">
        <f t="shared" si="13"/>
        <v>17.752162179000472</v>
      </c>
      <c r="AD41" s="80">
        <f t="shared" si="13"/>
        <v>17.478067999663452</v>
      </c>
      <c r="AE41" s="80">
        <f t="shared" si="13"/>
        <v>18.475010780330653</v>
      </c>
      <c r="AF41" s="80">
        <f t="shared" si="13"/>
        <v>18.586604760918842</v>
      </c>
      <c r="AG41" s="80">
        <f t="shared" si="13"/>
        <v>17.622274507833385</v>
      </c>
      <c r="AH41" s="80">
        <f t="shared" si="13"/>
        <v>18.245582142285496</v>
      </c>
      <c r="AI41" s="80">
        <f t="shared" si="13"/>
        <v>18.236098026694094</v>
      </c>
      <c r="AJ41" s="80">
        <f t="shared" si="13"/>
        <v>18.016786513321406</v>
      </c>
      <c r="AK41" s="80">
        <f t="shared" si="13"/>
        <v>17.982927877264139</v>
      </c>
      <c r="AL41" s="80">
        <f t="shared" si="13"/>
        <v>18.37562354342322</v>
      </c>
      <c r="AM41" s="80">
        <f t="shared" si="13"/>
        <v>18.94171495307695</v>
      </c>
      <c r="AN41" s="80">
        <f t="shared" si="13"/>
        <v>18.627510171157461</v>
      </c>
      <c r="AO41" s="80">
        <f t="shared" si="13"/>
        <v>18.662804506017586</v>
      </c>
      <c r="AP41" s="80">
        <f t="shared" si="13"/>
        <v>19.017103636387176</v>
      </c>
      <c r="AQ41" s="80">
        <f t="shared" si="13"/>
        <v>19.108437320280547</v>
      </c>
      <c r="AR41" s="80">
        <f t="shared" si="13"/>
        <v>19.102782313144527</v>
      </c>
      <c r="AS41" s="80">
        <f t="shared" si="13"/>
        <v>19.418843679405644</v>
      </c>
      <c r="AT41" s="80">
        <f t="shared" si="13"/>
        <v>19.563363313945722</v>
      </c>
      <c r="AU41" s="80">
        <f t="shared" si="13"/>
        <v>19.825174926281289</v>
      </c>
      <c r="AV41" s="80">
        <f t="shared" si="13"/>
        <v>19.995285313781395</v>
      </c>
      <c r="AW41" s="80">
        <f t="shared" si="13"/>
        <v>19.914279491443068</v>
      </c>
      <c r="AX41" s="80">
        <f t="shared" si="13"/>
        <v>20.256499718926268</v>
      </c>
      <c r="AY41" s="80">
        <f t="shared" si="13"/>
        <v>20.273977905996535</v>
      </c>
      <c r="AZ41" s="80">
        <f t="shared" si="13"/>
        <v>20.912175168749837</v>
      </c>
      <c r="BA41" s="80">
        <f t="shared" si="13"/>
        <v>21.256464742402901</v>
      </c>
      <c r="BB41" s="80">
        <f t="shared" si="13"/>
        <v>21.44479939195627</v>
      </c>
      <c r="BC41" s="80">
        <f t="shared" si="13"/>
        <v>21.801312827017352</v>
      </c>
      <c r="BD41" s="80">
        <f t="shared" si="13"/>
        <v>21.888173922785459</v>
      </c>
      <c r="BE41" s="80">
        <f t="shared" si="13"/>
        <v>22.324752971596872</v>
      </c>
      <c r="BF41" s="80">
        <f t="shared" si="13"/>
        <v>22.758894418604587</v>
      </c>
      <c r="BG41" s="80">
        <f t="shared" si="13"/>
        <v>22.84771442379753</v>
      </c>
      <c r="BH41" s="80">
        <f t="shared" si="13"/>
        <v>22.860780965199687</v>
      </c>
      <c r="BI41" s="80">
        <f t="shared" si="13"/>
        <v>23.304537062629201</v>
      </c>
      <c r="BJ41" s="80">
        <f t="shared" si="13"/>
        <v>23.932839674517066</v>
      </c>
    </row>
    <row r="42" spans="2:63">
      <c r="C42" s="66" t="s">
        <v>287</v>
      </c>
      <c r="D42" s="80">
        <f t="shared" ref="D42:BJ42" si="14">D266*0.833</f>
        <v>4.0914856360835028</v>
      </c>
      <c r="E42" s="80">
        <f t="shared" si="14"/>
        <v>4.3068269853510559</v>
      </c>
      <c r="F42" s="80">
        <f t="shared" si="14"/>
        <v>4.5335020898432168</v>
      </c>
      <c r="G42" s="80">
        <f t="shared" si="14"/>
        <v>4.772107462992861</v>
      </c>
      <c r="H42" s="80">
        <f t="shared" si="14"/>
        <v>5.0232710136766956</v>
      </c>
      <c r="I42" s="80">
        <f t="shared" si="14"/>
        <v>5.2876536986070484</v>
      </c>
      <c r="J42" s="80">
        <f t="shared" si="14"/>
        <v>5.5659512616916302</v>
      </c>
      <c r="K42" s="80">
        <f t="shared" si="14"/>
        <v>5.8588960649385582</v>
      </c>
      <c r="L42" s="80">
        <f t="shared" si="14"/>
        <v>6.1672590157247988</v>
      </c>
      <c r="M42" s="80">
        <f t="shared" si="14"/>
        <v>6.4918515954997886</v>
      </c>
      <c r="N42" s="80">
        <f t="shared" si="14"/>
        <v>6.8335279952629353</v>
      </c>
      <c r="O42" s="80">
        <f t="shared" si="14"/>
        <v>6.7823468470603432</v>
      </c>
      <c r="P42" s="80">
        <f t="shared" si="14"/>
        <v>6.8209334858184993</v>
      </c>
      <c r="Q42" s="80">
        <f t="shared" si="14"/>
        <v>6.6173653664958501</v>
      </c>
      <c r="R42" s="80">
        <f t="shared" si="14"/>
        <v>6.5047260307195867</v>
      </c>
      <c r="S42" s="80">
        <f t="shared" si="14"/>
        <v>6.4823959824513944</v>
      </c>
      <c r="T42" s="80">
        <f t="shared" si="14"/>
        <v>6.4991903247828757</v>
      </c>
      <c r="U42" s="80">
        <f t="shared" si="14"/>
        <v>6.267277425006978</v>
      </c>
      <c r="V42" s="80">
        <f t="shared" si="14"/>
        <v>6.2772538238660642</v>
      </c>
      <c r="W42" s="80">
        <f t="shared" si="14"/>
        <v>6.1118581399322727</v>
      </c>
      <c r="X42" s="80">
        <f t="shared" si="14"/>
        <v>6.4377817325770978</v>
      </c>
      <c r="Y42" s="80">
        <f t="shared" si="14"/>
        <v>6.5990023270418643</v>
      </c>
      <c r="Z42" s="80">
        <f t="shared" si="14"/>
        <v>6.2720466852603387</v>
      </c>
      <c r="AA42" s="80">
        <f t="shared" si="14"/>
        <v>5.9658885658252654</v>
      </c>
      <c r="AB42" s="80">
        <f t="shared" si="14"/>
        <v>5.6744920132185834</v>
      </c>
      <c r="AC42" s="80">
        <f t="shared" si="14"/>
        <v>5.3265696274782277</v>
      </c>
      <c r="AD42" s="80">
        <f t="shared" si="14"/>
        <v>4.9049330795939916</v>
      </c>
      <c r="AE42" s="80">
        <f t="shared" si="14"/>
        <v>5.1241217602173217</v>
      </c>
      <c r="AF42" s="80">
        <f t="shared" si="14"/>
        <v>4.999730520479801</v>
      </c>
      <c r="AG42" s="80">
        <f t="shared" si="14"/>
        <v>5.3466080818839998</v>
      </c>
      <c r="AH42" s="80">
        <f t="shared" si="14"/>
        <v>5.285279468659958</v>
      </c>
      <c r="AI42" s="80">
        <f t="shared" si="14"/>
        <v>5.4517815198295638</v>
      </c>
      <c r="AJ42" s="80">
        <f t="shared" si="14"/>
        <v>5.330912489705443</v>
      </c>
      <c r="AK42" s="80">
        <f t="shared" si="14"/>
        <v>5.3615865537257621</v>
      </c>
      <c r="AL42" s="80">
        <f t="shared" si="14"/>
        <v>5.2990614706725125</v>
      </c>
      <c r="AM42" s="80">
        <f t="shared" si="14"/>
        <v>5.5215771977841808</v>
      </c>
      <c r="AN42" s="80">
        <f t="shared" si="14"/>
        <v>5.5330486286734635</v>
      </c>
      <c r="AO42" s="80">
        <f t="shared" si="14"/>
        <v>5.6527110934124547</v>
      </c>
      <c r="AP42" s="80">
        <f t="shared" si="14"/>
        <v>5.8835871854110211</v>
      </c>
      <c r="AQ42" s="80">
        <f t="shared" si="14"/>
        <v>6.0928023705212899</v>
      </c>
      <c r="AR42" s="80">
        <f t="shared" si="14"/>
        <v>6.1877881676044231</v>
      </c>
      <c r="AS42" s="80">
        <f t="shared" si="14"/>
        <v>6.1590559286174189</v>
      </c>
      <c r="AT42" s="80">
        <f t="shared" si="14"/>
        <v>6.0773250316512932</v>
      </c>
      <c r="AU42" s="80">
        <f t="shared" si="14"/>
        <v>6.0460808106709658</v>
      </c>
      <c r="AV42" s="80">
        <f t="shared" si="14"/>
        <v>6.1051448025314672</v>
      </c>
      <c r="AW42" s="80">
        <f t="shared" si="14"/>
        <v>5.9684594891207041</v>
      </c>
      <c r="AX42" s="80">
        <f t="shared" si="14"/>
        <v>5.9590547897806925</v>
      </c>
      <c r="AY42" s="80">
        <f t="shared" si="14"/>
        <v>5.9714683363230581</v>
      </c>
      <c r="AZ42" s="80">
        <f t="shared" si="14"/>
        <v>6.2807774888508776</v>
      </c>
      <c r="BA42" s="80">
        <f t="shared" si="14"/>
        <v>6.2527059173137607</v>
      </c>
      <c r="BB42" s="80">
        <f t="shared" si="14"/>
        <v>6.1138304240198007</v>
      </c>
      <c r="BC42" s="80">
        <f t="shared" si="14"/>
        <v>6.1219004412551516</v>
      </c>
      <c r="BD42" s="80">
        <f t="shared" si="14"/>
        <v>5.9590854230105768</v>
      </c>
      <c r="BE42" s="80">
        <f t="shared" si="14"/>
        <v>6.0132203686139203</v>
      </c>
      <c r="BF42" s="80">
        <f t="shared" si="14"/>
        <v>6.0026150939890615</v>
      </c>
      <c r="BG42" s="80">
        <f t="shared" si="14"/>
        <v>5.9109647462284363</v>
      </c>
      <c r="BH42" s="80">
        <f t="shared" si="14"/>
        <v>5.7801807589722669</v>
      </c>
      <c r="BI42" s="80">
        <f t="shared" si="14"/>
        <v>5.7821257023022676</v>
      </c>
      <c r="BJ42" s="80">
        <f t="shared" si="14"/>
        <v>5.8320328077306662</v>
      </c>
    </row>
    <row r="43" spans="2:63">
      <c r="C43" s="66" t="s">
        <v>288</v>
      </c>
      <c r="D43" s="80">
        <f>D277*0.833</f>
        <v>5.2311853628854328</v>
      </c>
      <c r="E43" s="80">
        <f t="shared" ref="E43:BJ43" si="15">E277*0.833</f>
        <v>5.4491514196723259</v>
      </c>
      <c r="F43" s="80">
        <f t="shared" si="15"/>
        <v>5.6761993954920058</v>
      </c>
      <c r="G43" s="80">
        <f t="shared" si="15"/>
        <v>5.9127077036375066</v>
      </c>
      <c r="H43" s="80">
        <f t="shared" si="15"/>
        <v>6.1590705246224031</v>
      </c>
      <c r="I43" s="80">
        <f t="shared" si="15"/>
        <v>6.4156984631483365</v>
      </c>
      <c r="J43" s="80">
        <f t="shared" si="15"/>
        <v>6.6830192324461848</v>
      </c>
      <c r="K43" s="80">
        <f t="shared" si="15"/>
        <v>6.9614783671314431</v>
      </c>
      <c r="L43" s="80">
        <f t="shared" si="15"/>
        <v>7.2515399657619186</v>
      </c>
      <c r="M43" s="80">
        <f t="shared" si="15"/>
        <v>7.553687464335332</v>
      </c>
      <c r="N43" s="80">
        <f t="shared" si="15"/>
        <v>7.8684244420159724</v>
      </c>
      <c r="O43" s="80">
        <f t="shared" si="15"/>
        <v>7.8508690284576801</v>
      </c>
      <c r="P43" s="80">
        <f t="shared" si="15"/>
        <v>7.9220595370416991</v>
      </c>
      <c r="Q43" s="80">
        <f t="shared" si="15"/>
        <v>7.681625805894357</v>
      </c>
      <c r="R43" s="80">
        <f t="shared" si="15"/>
        <v>7.9649731919494249</v>
      </c>
      <c r="S43" s="80">
        <f t="shared" si="15"/>
        <v>7.7845676755747952</v>
      </c>
      <c r="T43" s="80">
        <f t="shared" si="15"/>
        <v>8.0471315604113158</v>
      </c>
      <c r="U43" s="80">
        <f t="shared" si="15"/>
        <v>7.6676688987241581</v>
      </c>
      <c r="V43" s="80">
        <f t="shared" si="15"/>
        <v>7.9528259110387785</v>
      </c>
      <c r="W43" s="80">
        <f t="shared" si="15"/>
        <v>7.7787290616664126</v>
      </c>
      <c r="X43" s="80">
        <f t="shared" si="15"/>
        <v>7.915853157197108</v>
      </c>
      <c r="Y43" s="80">
        <f t="shared" si="15"/>
        <v>8.1574624898921151</v>
      </c>
      <c r="Z43" s="80">
        <f t="shared" si="15"/>
        <v>7.7543469546412931</v>
      </c>
      <c r="AA43" s="80">
        <f t="shared" si="15"/>
        <v>7.3256117216766903</v>
      </c>
      <c r="AB43" s="80">
        <f t="shared" si="15"/>
        <v>7.0365590749375757</v>
      </c>
      <c r="AC43" s="80">
        <f t="shared" si="15"/>
        <v>6.8112506797255614</v>
      </c>
      <c r="AD43" s="80">
        <f t="shared" si="15"/>
        <v>6.2736442189270702</v>
      </c>
      <c r="AE43" s="80">
        <f t="shared" si="15"/>
        <v>6.390625494187387</v>
      </c>
      <c r="AF43" s="80">
        <f t="shared" si="15"/>
        <v>6.4130139049592829</v>
      </c>
      <c r="AG43" s="80">
        <f t="shared" si="15"/>
        <v>6.0653610302730687</v>
      </c>
      <c r="AH43" s="80">
        <f t="shared" si="15"/>
        <v>6.1740172561767928</v>
      </c>
      <c r="AI43" s="80">
        <f t="shared" si="15"/>
        <v>6.2281945746809706</v>
      </c>
      <c r="AJ43" s="80">
        <f t="shared" si="15"/>
        <v>6.0970969537961075</v>
      </c>
      <c r="AK43" s="80">
        <f t="shared" si="15"/>
        <v>6.1084118885913883</v>
      </c>
      <c r="AL43" s="80">
        <f t="shared" si="15"/>
        <v>6.0284839230948304</v>
      </c>
      <c r="AM43" s="80">
        <f t="shared" si="15"/>
        <v>6.1480500272638547</v>
      </c>
      <c r="AN43" s="80">
        <f t="shared" si="15"/>
        <v>6.2739920761683896</v>
      </c>
      <c r="AO43" s="80">
        <f t="shared" si="15"/>
        <v>6.4729348667101538</v>
      </c>
      <c r="AP43" s="80">
        <f t="shared" si="15"/>
        <v>6.853201205798416</v>
      </c>
      <c r="AQ43" s="80">
        <f t="shared" si="15"/>
        <v>7.0734425657679978</v>
      </c>
      <c r="AR43" s="80">
        <f t="shared" si="15"/>
        <v>7.3080496502243237</v>
      </c>
      <c r="AS43" s="80">
        <f t="shared" si="15"/>
        <v>7.487915522666361</v>
      </c>
      <c r="AT43" s="80">
        <f t="shared" si="15"/>
        <v>7.5116675834353224</v>
      </c>
      <c r="AU43" s="80">
        <f t="shared" si="15"/>
        <v>7.5470637834309722</v>
      </c>
      <c r="AV43" s="80">
        <f t="shared" si="15"/>
        <v>7.6553680619470175</v>
      </c>
      <c r="AW43" s="80">
        <f t="shared" si="15"/>
        <v>7.6790865136186923</v>
      </c>
      <c r="AX43" s="80">
        <f t="shared" si="15"/>
        <v>7.8116245953454886</v>
      </c>
      <c r="AY43" s="80">
        <f t="shared" si="15"/>
        <v>7.9110737848254171</v>
      </c>
      <c r="AZ43" s="80">
        <f t="shared" si="15"/>
        <v>8.1415797516066171</v>
      </c>
      <c r="BA43" s="80">
        <f t="shared" si="15"/>
        <v>8.1682690076283357</v>
      </c>
      <c r="BB43" s="80">
        <f t="shared" si="15"/>
        <v>8.2444849978912895</v>
      </c>
      <c r="BC43" s="80">
        <f t="shared" si="15"/>
        <v>8.4023509747176064</v>
      </c>
      <c r="BD43" s="80">
        <f t="shared" si="15"/>
        <v>8.2017966436579535</v>
      </c>
      <c r="BE43" s="80">
        <f t="shared" si="15"/>
        <v>8.3841130495299439</v>
      </c>
      <c r="BF43" s="80">
        <f t="shared" si="15"/>
        <v>8.4255748336645908</v>
      </c>
      <c r="BG43" s="80">
        <f t="shared" si="15"/>
        <v>8.4168850547578913</v>
      </c>
      <c r="BH43" s="80">
        <f t="shared" si="15"/>
        <v>8.2358644852964282</v>
      </c>
      <c r="BI43" s="80">
        <f t="shared" si="15"/>
        <v>8.6422978998106768</v>
      </c>
      <c r="BJ43" s="80">
        <f t="shared" si="15"/>
        <v>8.8124807876717739</v>
      </c>
    </row>
    <row r="44" spans="2:63">
      <c r="N44" s="79"/>
    </row>
    <row r="45" spans="2:63">
      <c r="C45" s="81" t="s">
        <v>289</v>
      </c>
      <c r="D45" s="80">
        <f>D299*0.833</f>
        <v>24.347128647335342</v>
      </c>
      <c r="E45" s="80">
        <f t="shared" ref="E45:BB46" si="16">E299*0.833</f>
        <v>24.347128647335342</v>
      </c>
      <c r="F45" s="80">
        <f t="shared" si="16"/>
        <v>24.347128647335342</v>
      </c>
      <c r="G45" s="80">
        <f t="shared" si="16"/>
        <v>24.347128647335346</v>
      </c>
      <c r="H45" s="80">
        <f t="shared" si="16"/>
        <v>24.347128647335342</v>
      </c>
      <c r="I45" s="80">
        <f t="shared" si="16"/>
        <v>24.347128647335346</v>
      </c>
      <c r="J45" s="80">
        <f t="shared" si="16"/>
        <v>24.347128647335339</v>
      </c>
      <c r="K45" s="80">
        <f t="shared" si="16"/>
        <v>24.347128647335346</v>
      </c>
      <c r="L45" s="80">
        <f t="shared" si="16"/>
        <v>24.347128647335346</v>
      </c>
      <c r="M45" s="80">
        <f t="shared" si="16"/>
        <v>24.347128647335342</v>
      </c>
      <c r="N45" s="80">
        <f t="shared" si="16"/>
        <v>24.389723096224674</v>
      </c>
      <c r="O45" s="80">
        <f t="shared" si="16"/>
        <v>24.579942711639184</v>
      </c>
      <c r="P45" s="80">
        <f t="shared" si="16"/>
        <v>24.381538053385796</v>
      </c>
      <c r="Q45" s="80">
        <f t="shared" si="16"/>
        <v>24.065463701973837</v>
      </c>
      <c r="R45" s="80">
        <f t="shared" si="16"/>
        <v>24.298760379662383</v>
      </c>
      <c r="S45" s="80">
        <f t="shared" si="16"/>
        <v>25.124752450780576</v>
      </c>
      <c r="T45" s="80">
        <f t="shared" si="16"/>
        <v>25.229262917550663</v>
      </c>
      <c r="U45" s="80">
        <f t="shared" si="16"/>
        <v>24.976311737413486</v>
      </c>
      <c r="V45" s="80">
        <f t="shared" si="16"/>
        <v>24.536868744702616</v>
      </c>
      <c r="W45" s="80">
        <f t="shared" si="16"/>
        <v>24.001796572986244</v>
      </c>
      <c r="X45" s="80">
        <f t="shared" si="16"/>
        <v>24.994722678410817</v>
      </c>
      <c r="Y45" s="80">
        <f t="shared" si="16"/>
        <v>26.143164815462505</v>
      </c>
      <c r="Z45" s="80">
        <f t="shared" si="16"/>
        <v>26.18035560764589</v>
      </c>
      <c r="AA45" s="80">
        <f t="shared" si="16"/>
        <v>26.04466174654647</v>
      </c>
      <c r="AB45" s="80">
        <f t="shared" si="16"/>
        <v>26.460273819310615</v>
      </c>
      <c r="AC45" s="80">
        <f t="shared" si="16"/>
        <v>26.837321046440191</v>
      </c>
      <c r="AD45" s="80">
        <f t="shared" si="16"/>
        <v>26.749333198586132</v>
      </c>
      <c r="AE45" s="80">
        <f t="shared" si="16"/>
        <v>27.640147817488227</v>
      </c>
      <c r="AF45" s="80">
        <f t="shared" si="16"/>
        <v>28.068450623389431</v>
      </c>
      <c r="AG45" s="80">
        <f t="shared" si="16"/>
        <v>29.067526166181828</v>
      </c>
      <c r="AH45" s="80">
        <f t="shared" si="16"/>
        <v>28.203443922872211</v>
      </c>
      <c r="AI45" s="80">
        <f t="shared" si="16"/>
        <v>28.221380102458159</v>
      </c>
      <c r="AJ45" s="80">
        <f t="shared" si="16"/>
        <v>27.755596675844458</v>
      </c>
      <c r="AK45" s="80">
        <f t="shared" si="16"/>
        <v>27.35197797960133</v>
      </c>
      <c r="AL45" s="80">
        <f t="shared" si="16"/>
        <v>27.984624966159632</v>
      </c>
      <c r="AM45" s="80">
        <f t="shared" si="16"/>
        <v>28.760223101920349</v>
      </c>
      <c r="AN45" s="80">
        <f t="shared" si="16"/>
        <v>28.253844439487217</v>
      </c>
      <c r="AO45" s="80">
        <f t="shared" si="16"/>
        <v>28.415287416716836</v>
      </c>
      <c r="AP45" s="80">
        <f t="shared" si="16"/>
        <v>29.044222145508229</v>
      </c>
      <c r="AQ45" s="80">
        <f t="shared" si="16"/>
        <v>29.051069883871421</v>
      </c>
      <c r="AR45" s="80">
        <f t="shared" si="16"/>
        <v>29.051320874445679</v>
      </c>
      <c r="AS45" s="80">
        <f t="shared" si="16"/>
        <v>29.452889360275293</v>
      </c>
      <c r="AT45" s="80">
        <f t="shared" si="16"/>
        <v>29.491364738959959</v>
      </c>
      <c r="AU45" s="80">
        <f t="shared" si="16"/>
        <v>29.80871192160188</v>
      </c>
      <c r="AV45" s="80">
        <f t="shared" si="16"/>
        <v>29.849582828793796</v>
      </c>
      <c r="AW45" s="80">
        <f t="shared" si="16"/>
        <v>29.584495819091718</v>
      </c>
      <c r="AX45" s="80">
        <f t="shared" si="16"/>
        <v>29.927161554212031</v>
      </c>
      <c r="AY45" s="80">
        <f t="shared" si="16"/>
        <v>29.753572946088987</v>
      </c>
      <c r="AZ45" s="80">
        <f t="shared" si="16"/>
        <v>30.209038159503105</v>
      </c>
      <c r="BA45" s="80">
        <f t="shared" si="16"/>
        <v>30.964751059898713</v>
      </c>
      <c r="BB45" s="80">
        <f t="shared" si="16"/>
        <v>31.389051755395037</v>
      </c>
    </row>
    <row r="46" spans="2:63">
      <c r="C46" s="81" t="s">
        <v>290</v>
      </c>
      <c r="D46" s="80">
        <f>D300*0.833</f>
        <v>11.731942135377595</v>
      </c>
      <c r="E46" s="80">
        <f t="shared" si="16"/>
        <v>11.731942135377594</v>
      </c>
      <c r="F46" s="80">
        <f t="shared" si="16"/>
        <v>11.731942135377595</v>
      </c>
      <c r="G46" s="80">
        <f t="shared" si="16"/>
        <v>11.731942135377594</v>
      </c>
      <c r="H46" s="80">
        <f t="shared" si="16"/>
        <v>11.731942135377594</v>
      </c>
      <c r="I46" s="80">
        <f t="shared" si="16"/>
        <v>11.731942135377594</v>
      </c>
      <c r="J46" s="80">
        <f t="shared" si="16"/>
        <v>11.731942135377594</v>
      </c>
      <c r="K46" s="80">
        <f t="shared" si="16"/>
        <v>11.731942135377594</v>
      </c>
      <c r="L46" s="80">
        <f t="shared" si="16"/>
        <v>11.731942135377594</v>
      </c>
      <c r="M46" s="80">
        <f t="shared" si="16"/>
        <v>11.731942135377592</v>
      </c>
      <c r="N46" s="80">
        <f t="shared" si="16"/>
        <v>11.695893332884566</v>
      </c>
      <c r="O46" s="80">
        <f t="shared" si="16"/>
        <v>11.737715085838184</v>
      </c>
      <c r="P46" s="80">
        <f t="shared" si="16"/>
        <v>11.887484158707693</v>
      </c>
      <c r="Q46" s="80">
        <f t="shared" si="16"/>
        <v>11.642610482887317</v>
      </c>
      <c r="R46" s="80">
        <f t="shared" si="16"/>
        <v>11.664355155757891</v>
      </c>
      <c r="S46" s="80">
        <f t="shared" si="16"/>
        <v>11.684991270968906</v>
      </c>
      <c r="T46" s="80">
        <f t="shared" si="16"/>
        <v>11.735750211941186</v>
      </c>
      <c r="U46" s="80">
        <f t="shared" si="16"/>
        <v>11.459267084013385</v>
      </c>
      <c r="V46" s="80">
        <f t="shared" si="16"/>
        <v>11.515463406102089</v>
      </c>
      <c r="W46" s="80">
        <f t="shared" si="16"/>
        <v>11.222407285995692</v>
      </c>
      <c r="X46" s="80">
        <f t="shared" si="16"/>
        <v>11.810494203353596</v>
      </c>
      <c r="Y46" s="80">
        <f t="shared" si="16"/>
        <v>12.261023807565262</v>
      </c>
      <c r="Z46" s="80">
        <f t="shared" si="16"/>
        <v>11.858805189064498</v>
      </c>
      <c r="AA46" s="80">
        <f t="shared" si="16"/>
        <v>11.334039723927097</v>
      </c>
      <c r="AB46" s="80">
        <f t="shared" si="16"/>
        <v>10.979518176247975</v>
      </c>
      <c r="AC46" s="80">
        <f t="shared" si="16"/>
        <v>10.658727505184617</v>
      </c>
      <c r="AD46" s="80">
        <f t="shared" si="16"/>
        <v>10.078569807519022</v>
      </c>
      <c r="AE46" s="80">
        <f t="shared" si="16"/>
        <v>10.805431237776515</v>
      </c>
      <c r="AF46" s="80">
        <f t="shared" si="16"/>
        <v>11.079965082236285</v>
      </c>
      <c r="AG46" s="80">
        <f t="shared" si="16"/>
        <v>12.369352922065119</v>
      </c>
      <c r="AH46" s="80">
        <f t="shared" si="16"/>
        <v>13.597747053005456</v>
      </c>
      <c r="AI46" s="80">
        <f t="shared" si="16"/>
        <v>14.473688877810913</v>
      </c>
      <c r="AJ46" s="80">
        <f t="shared" si="16"/>
        <v>15.063783880916496</v>
      </c>
      <c r="AK46" s="80">
        <f t="shared" si="16"/>
        <v>15.891136242190377</v>
      </c>
      <c r="AL46" s="80">
        <f t="shared" si="16"/>
        <v>17.083320200948112</v>
      </c>
      <c r="AM46" s="80">
        <f t="shared" si="16"/>
        <v>18.440209391947096</v>
      </c>
      <c r="AN46" s="80">
        <f t="shared" si="16"/>
        <v>18.849246549741469</v>
      </c>
      <c r="AO46" s="80">
        <f t="shared" si="16"/>
        <v>19.549752680508487</v>
      </c>
      <c r="AP46" s="80">
        <f t="shared" si="16"/>
        <v>20.384931423718694</v>
      </c>
      <c r="AQ46" s="80">
        <f t="shared" si="16"/>
        <v>21.220851832908281</v>
      </c>
      <c r="AR46" s="80">
        <f t="shared" si="16"/>
        <v>21.730990674780301</v>
      </c>
      <c r="AS46" s="80">
        <f t="shared" si="16"/>
        <v>22.426644858442717</v>
      </c>
      <c r="AT46" s="80">
        <f t="shared" si="16"/>
        <v>22.929706478396007</v>
      </c>
      <c r="AU46" s="80">
        <f t="shared" si="16"/>
        <v>23.547557297078644</v>
      </c>
      <c r="AV46" s="80">
        <f t="shared" si="16"/>
        <v>24.205680996957302</v>
      </c>
      <c r="AW46" s="80">
        <f t="shared" si="16"/>
        <v>24.473726675026349</v>
      </c>
      <c r="AX46" s="80">
        <f t="shared" si="16"/>
        <v>25.231613056762665</v>
      </c>
      <c r="AY46" s="80">
        <f t="shared" si="16"/>
        <v>25.609957336449988</v>
      </c>
      <c r="AZ46" s="80">
        <f t="shared" si="16"/>
        <v>27.06946815800643</v>
      </c>
      <c r="BA46" s="80">
        <f t="shared" si="16"/>
        <v>27.953235900908961</v>
      </c>
      <c r="BB46" s="80">
        <f t="shared" si="16"/>
        <v>28.139190345714404</v>
      </c>
    </row>
    <row r="47" spans="2:63">
      <c r="C47" s="81" t="s">
        <v>291</v>
      </c>
      <c r="D47" s="82">
        <f>35*(1-EXP(-0.025*D45))/100</f>
        <v>0.15957566228914821</v>
      </c>
      <c r="E47" s="82">
        <f>35*(1-EXP(-0.025*E45))/100</f>
        <v>0.15957566228914821</v>
      </c>
      <c r="F47" s="82">
        <f t="shared" ref="F47:BB47" si="17">35*(1-EXP(-0.025*F45))/100</f>
        <v>0.15957566228914821</v>
      </c>
      <c r="G47" s="82">
        <f t="shared" si="17"/>
        <v>0.15957566228914824</v>
      </c>
      <c r="H47" s="82">
        <f t="shared" si="17"/>
        <v>0.15957566228914821</v>
      </c>
      <c r="I47" s="82">
        <f t="shared" si="17"/>
        <v>0.15957566228914824</v>
      </c>
      <c r="J47" s="82">
        <f t="shared" si="17"/>
        <v>0.15957566228914821</v>
      </c>
      <c r="K47" s="82">
        <f t="shared" si="17"/>
        <v>0.15957566228914824</v>
      </c>
      <c r="L47" s="82">
        <f t="shared" si="17"/>
        <v>0.15957566228914824</v>
      </c>
      <c r="M47" s="82">
        <f t="shared" si="17"/>
        <v>0.15957566228914821</v>
      </c>
      <c r="N47" s="82">
        <f t="shared" si="17"/>
        <v>0.15977832985657828</v>
      </c>
      <c r="O47" s="82">
        <f t="shared" si="17"/>
        <v>0.16068077968357733</v>
      </c>
      <c r="P47" s="82">
        <f t="shared" si="17"/>
        <v>0.15973940156086686</v>
      </c>
      <c r="Q47" s="82">
        <f t="shared" si="17"/>
        <v>0.15823003362711793</v>
      </c>
      <c r="R47" s="82">
        <f t="shared" si="17"/>
        <v>0.15934526063216348</v>
      </c>
      <c r="S47" s="82">
        <f t="shared" si="17"/>
        <v>0.16324187261236239</v>
      </c>
      <c r="T47" s="82">
        <f t="shared" si="17"/>
        <v>0.16372919018945534</v>
      </c>
      <c r="U47" s="82">
        <f t="shared" si="17"/>
        <v>0.16254752229460565</v>
      </c>
      <c r="V47" s="82">
        <f t="shared" si="17"/>
        <v>0.16047680163058048</v>
      </c>
      <c r="W47" s="82">
        <f t="shared" si="17"/>
        <v>0.1579245544997479</v>
      </c>
      <c r="X47" s="82">
        <f t="shared" si="17"/>
        <v>0.16263378185425792</v>
      </c>
      <c r="Y47" s="82">
        <f t="shared" si="17"/>
        <v>0.16793677186192457</v>
      </c>
      <c r="Z47" s="82">
        <f t="shared" si="17"/>
        <v>0.16810597008408468</v>
      </c>
      <c r="AA47" s="82">
        <f t="shared" si="17"/>
        <v>0.16748787469921694</v>
      </c>
      <c r="AB47" s="82">
        <f t="shared" si="17"/>
        <v>0.16937441294359271</v>
      </c>
      <c r="AC47" s="82">
        <f t="shared" si="17"/>
        <v>0.17106902296461737</v>
      </c>
      <c r="AD47" s="82">
        <f t="shared" si="17"/>
        <v>0.17067499596405628</v>
      </c>
      <c r="AE47" s="82">
        <f t="shared" si="17"/>
        <v>0.17462448779488315</v>
      </c>
      <c r="AF47" s="82">
        <f t="shared" si="17"/>
        <v>0.1764923155995331</v>
      </c>
      <c r="AG47" s="82">
        <f t="shared" si="17"/>
        <v>0.18077232454272851</v>
      </c>
      <c r="AH47" s="82">
        <f t="shared" si="17"/>
        <v>0.17707688799781174</v>
      </c>
      <c r="AI47" s="82">
        <f t="shared" si="17"/>
        <v>0.17715441011566577</v>
      </c>
      <c r="AJ47" s="82">
        <f t="shared" si="17"/>
        <v>0.17512993060076679</v>
      </c>
      <c r="AK47" s="82">
        <f t="shared" si="17"/>
        <v>0.17335647742683125</v>
      </c>
      <c r="AL47" s="82">
        <f t="shared" si="17"/>
        <v>0.17612832444328919</v>
      </c>
      <c r="AM47" s="82">
        <f t="shared" si="17"/>
        <v>0.17946721307183686</v>
      </c>
      <c r="AN47" s="82">
        <f t="shared" si="17"/>
        <v>0.17729463614075647</v>
      </c>
      <c r="AO47" s="82">
        <f t="shared" si="17"/>
        <v>0.17799028305817796</v>
      </c>
      <c r="AP47" s="82">
        <f t="shared" si="17"/>
        <v>0.18067370368605196</v>
      </c>
      <c r="AQ47" s="82">
        <f t="shared" si="17"/>
        <v>0.18070268875933287</v>
      </c>
      <c r="AR47" s="82">
        <f t="shared" si="17"/>
        <v>0.1807037510567342</v>
      </c>
      <c r="AS47" s="82">
        <f t="shared" si="17"/>
        <v>0.18239484916581919</v>
      </c>
      <c r="AT47" s="82">
        <f t="shared" si="17"/>
        <v>0.1825559884459059</v>
      </c>
      <c r="AU47" s="82">
        <f t="shared" si="17"/>
        <v>0.18387917975043055</v>
      </c>
      <c r="AV47" s="82">
        <f t="shared" si="17"/>
        <v>0.18404883077895423</v>
      </c>
      <c r="AW47" s="82">
        <f t="shared" si="17"/>
        <v>0.18294539099294047</v>
      </c>
      <c r="AX47" s="82">
        <f t="shared" si="17"/>
        <v>0.18437037586967936</v>
      </c>
      <c r="AY47" s="82">
        <f t="shared" si="17"/>
        <v>0.18365002855118884</v>
      </c>
      <c r="AZ47" s="82">
        <f t="shared" si="17"/>
        <v>0.18553345091565329</v>
      </c>
      <c r="BA47" s="82">
        <f t="shared" si="17"/>
        <v>0.18861151997382652</v>
      </c>
      <c r="BB47" s="82">
        <f t="shared" si="17"/>
        <v>0.19031440343162881</v>
      </c>
    </row>
    <row r="48" spans="2:63">
      <c r="C48" s="81" t="s">
        <v>292</v>
      </c>
      <c r="D48" s="82">
        <f t="shared" ref="D48:BB48" si="18">43.75*(1-EXP(-0.025*D46))/100</f>
        <v>0.11121274215320702</v>
      </c>
      <c r="E48" s="82">
        <f t="shared" si="18"/>
        <v>0.11121274215320696</v>
      </c>
      <c r="F48" s="82">
        <f t="shared" si="18"/>
        <v>0.11121274215320702</v>
      </c>
      <c r="G48" s="82">
        <f t="shared" si="18"/>
        <v>0.11121274215320696</v>
      </c>
      <c r="H48" s="82">
        <f t="shared" si="18"/>
        <v>0.11121274215320696</v>
      </c>
      <c r="I48" s="82">
        <f t="shared" si="18"/>
        <v>0.11121274215320696</v>
      </c>
      <c r="J48" s="82">
        <f t="shared" si="18"/>
        <v>0.11121274215320696</v>
      </c>
      <c r="K48" s="82">
        <f t="shared" si="18"/>
        <v>0.11121274215320696</v>
      </c>
      <c r="L48" s="82">
        <f t="shared" si="18"/>
        <v>0.11121274215320696</v>
      </c>
      <c r="M48" s="82">
        <f t="shared" si="18"/>
        <v>0.11121274215320696</v>
      </c>
      <c r="N48" s="82">
        <f t="shared" si="18"/>
        <v>0.11091855298567591</v>
      </c>
      <c r="O48" s="82">
        <f t="shared" si="18"/>
        <v>0.1112598297595818</v>
      </c>
      <c r="P48" s="82">
        <f t="shared" si="18"/>
        <v>0.11247906298805355</v>
      </c>
      <c r="Q48" s="82">
        <f t="shared" si="18"/>
        <v>0.11048323335533489</v>
      </c>
      <c r="R48" s="82">
        <f t="shared" si="18"/>
        <v>0.11066095685956194</v>
      </c>
      <c r="S48" s="82">
        <f t="shared" si="18"/>
        <v>0.11082953057573279</v>
      </c>
      <c r="T48" s="82">
        <f t="shared" si="18"/>
        <v>0.11124380384610733</v>
      </c>
      <c r="U48" s="82">
        <f t="shared" si="18"/>
        <v>0.1089808837749896</v>
      </c>
      <c r="V48" s="82">
        <f t="shared" si="18"/>
        <v>0.10944209886842129</v>
      </c>
      <c r="W48" s="82">
        <f t="shared" si="18"/>
        <v>0.10702978848780774</v>
      </c>
      <c r="X48" s="82">
        <f t="shared" si="18"/>
        <v>0.11185287687011244</v>
      </c>
      <c r="Y48" s="82">
        <f t="shared" si="18"/>
        <v>0.11550014004931991</v>
      </c>
      <c r="Z48" s="82">
        <f t="shared" si="18"/>
        <v>0.11224594778959419</v>
      </c>
      <c r="AA48" s="82">
        <f t="shared" si="18"/>
        <v>0.10795078261415936</v>
      </c>
      <c r="AB48" s="82">
        <f t="shared" si="18"/>
        <v>0.10501699320997183</v>
      </c>
      <c r="AC48" s="82">
        <f t="shared" si="18"/>
        <v>0.10233983630011806</v>
      </c>
      <c r="AD48" s="82">
        <f t="shared" si="18"/>
        <v>9.7443268647691705E-2</v>
      </c>
      <c r="AE48" s="82">
        <f t="shared" si="18"/>
        <v>0.10356681606912473</v>
      </c>
      <c r="AF48" s="82">
        <f t="shared" si="18"/>
        <v>0.10585086800312826</v>
      </c>
      <c r="AG48" s="82">
        <f t="shared" si="18"/>
        <v>0.11637100925335452</v>
      </c>
      <c r="AH48" s="82">
        <f t="shared" si="18"/>
        <v>0.12608294413231028</v>
      </c>
      <c r="AI48" s="82">
        <f t="shared" si="18"/>
        <v>0.13282839736846638</v>
      </c>
      <c r="AJ48" s="82">
        <f t="shared" si="18"/>
        <v>0.13729003632412218</v>
      </c>
      <c r="AK48" s="82">
        <f t="shared" si="18"/>
        <v>0.143435744452453</v>
      </c>
      <c r="AL48" s="82">
        <f t="shared" si="18"/>
        <v>0.15207088893372989</v>
      </c>
      <c r="AM48" s="82">
        <f t="shared" si="18"/>
        <v>0.16159089797073409</v>
      </c>
      <c r="AN48" s="82">
        <f t="shared" si="18"/>
        <v>0.16439794803510263</v>
      </c>
      <c r="AO48" s="82">
        <f t="shared" si="18"/>
        <v>0.16913905373674695</v>
      </c>
      <c r="AP48" s="82">
        <f t="shared" si="18"/>
        <v>0.17468419641627367</v>
      </c>
      <c r="AQ48" s="82">
        <f t="shared" si="18"/>
        <v>0.18011953210604217</v>
      </c>
      <c r="AR48" s="82">
        <f t="shared" si="18"/>
        <v>0.18338118355356364</v>
      </c>
      <c r="AS48" s="82">
        <f t="shared" si="18"/>
        <v>0.18776244552961463</v>
      </c>
      <c r="AT48" s="82">
        <f t="shared" si="18"/>
        <v>0.19088361211917754</v>
      </c>
      <c r="AU48" s="82">
        <f t="shared" si="18"/>
        <v>0.19466364667455832</v>
      </c>
      <c r="AV48" s="82">
        <f t="shared" si="18"/>
        <v>0.1986263667640005</v>
      </c>
      <c r="AW48" s="82">
        <f t="shared" si="18"/>
        <v>0.20022174150248401</v>
      </c>
      <c r="AX48" s="82">
        <f t="shared" si="18"/>
        <v>0.20467516740789446</v>
      </c>
      <c r="AY48" s="82">
        <f t="shared" si="18"/>
        <v>0.20686698389112135</v>
      </c>
      <c r="AZ48" s="82">
        <f t="shared" si="18"/>
        <v>0.21513059135750168</v>
      </c>
      <c r="BA48" s="82">
        <f t="shared" si="18"/>
        <v>0.2199897864503994</v>
      </c>
      <c r="BB48" s="82">
        <f t="shared" si="18"/>
        <v>0.2209986144578612</v>
      </c>
    </row>
    <row r="49" spans="3:54">
      <c r="C49" s="81"/>
      <c r="D49" s="82"/>
      <c r="E49" s="82"/>
      <c r="F49" s="82"/>
      <c r="G49" s="82"/>
      <c r="H49" s="82"/>
      <c r="I49" s="82"/>
      <c r="J49" s="82"/>
      <c r="K49" s="82"/>
      <c r="L49" s="82"/>
      <c r="M49" s="82"/>
      <c r="N49" s="82"/>
      <c r="O49" s="82"/>
      <c r="P49" s="82"/>
      <c r="Q49" s="82"/>
      <c r="R49" s="82"/>
      <c r="S49" s="82"/>
      <c r="T49" s="82"/>
      <c r="U49" s="82"/>
      <c r="V49" s="82"/>
      <c r="W49" s="82"/>
      <c r="X49" s="82"/>
      <c r="Y49" s="82"/>
      <c r="Z49" s="82"/>
      <c r="AA49" s="82"/>
      <c r="AB49" s="82"/>
      <c r="AC49" s="82"/>
      <c r="AD49" s="82"/>
      <c r="AE49" s="82"/>
      <c r="AF49" s="82"/>
      <c r="AG49" s="82"/>
      <c r="AH49" s="82"/>
      <c r="AI49" s="82"/>
      <c r="AJ49" s="82"/>
      <c r="AK49" s="82"/>
      <c r="AL49" s="82"/>
      <c r="AM49" s="82"/>
      <c r="AN49" s="82"/>
      <c r="AO49" s="82"/>
      <c r="AP49" s="82"/>
      <c r="AQ49" s="82"/>
      <c r="AR49" s="82"/>
      <c r="AS49" s="82"/>
      <c r="AT49" s="82"/>
      <c r="AU49" s="82"/>
      <c r="AV49" s="82"/>
      <c r="AW49" s="82"/>
      <c r="AX49" s="82"/>
      <c r="AY49" s="82"/>
      <c r="AZ49" s="82"/>
      <c r="BA49" s="82"/>
      <c r="BB49" s="82"/>
    </row>
    <row r="50" spans="3:54">
      <c r="C50" s="81" t="s">
        <v>293</v>
      </c>
      <c r="D50" s="83">
        <f t="shared" ref="D50:AI50" si="19">D45*D$284/D$286+D46*D$285/D$286</f>
        <v>23.478427268870355</v>
      </c>
      <c r="E50" s="83">
        <f t="shared" si="19"/>
        <v>23.006506303856494</v>
      </c>
      <c r="F50" s="83">
        <f t="shared" si="19"/>
        <v>23.108329666134455</v>
      </c>
      <c r="G50" s="83">
        <f t="shared" si="19"/>
        <v>23.032909068193181</v>
      </c>
      <c r="H50" s="83">
        <f t="shared" si="19"/>
        <v>22.794662134534597</v>
      </c>
      <c r="I50" s="83">
        <f t="shared" si="19"/>
        <v>22.880546718264217</v>
      </c>
      <c r="J50" s="83">
        <f t="shared" si="19"/>
        <v>22.704395141888025</v>
      </c>
      <c r="K50" s="83">
        <f t="shared" si="19"/>
        <v>23.268529360508555</v>
      </c>
      <c r="L50" s="83">
        <f t="shared" si="19"/>
        <v>23.658360451878419</v>
      </c>
      <c r="M50" s="83">
        <f t="shared" si="19"/>
        <v>23.830014699056644</v>
      </c>
      <c r="N50" s="83">
        <f t="shared" si="19"/>
        <v>22.750468797521485</v>
      </c>
      <c r="O50" s="83">
        <f t="shared" si="19"/>
        <v>22.955283896529775</v>
      </c>
      <c r="P50" s="83">
        <f t="shared" si="19"/>
        <v>22.838979904524315</v>
      </c>
      <c r="Q50" s="83">
        <f t="shared" si="19"/>
        <v>22.527526646754993</v>
      </c>
      <c r="R50" s="83">
        <f t="shared" si="19"/>
        <v>22.743865833392739</v>
      </c>
      <c r="S50" s="83">
        <f t="shared" si="19"/>
        <v>23.509290304185523</v>
      </c>
      <c r="T50" s="83">
        <f t="shared" si="19"/>
        <v>23.625291486176163</v>
      </c>
      <c r="U50" s="83">
        <f t="shared" si="19"/>
        <v>23.397558705009107</v>
      </c>
      <c r="V50" s="83">
        <f t="shared" si="19"/>
        <v>23.023424673303364</v>
      </c>
      <c r="W50" s="83">
        <f t="shared" si="19"/>
        <v>22.50374528903393</v>
      </c>
      <c r="X50" s="83">
        <f t="shared" si="19"/>
        <v>23.512086501867884</v>
      </c>
      <c r="Y50" s="83">
        <f t="shared" si="19"/>
        <v>24.634600692847787</v>
      </c>
      <c r="Z50" s="83">
        <f t="shared" si="19"/>
        <v>24.664535164528573</v>
      </c>
      <c r="AA50" s="83">
        <f t="shared" si="19"/>
        <v>24.45758965533113</v>
      </c>
      <c r="AB50" s="83">
        <f t="shared" si="19"/>
        <v>24.775923509587518</v>
      </c>
      <c r="AC50" s="83">
        <f t="shared" si="19"/>
        <v>25.078531845126697</v>
      </c>
      <c r="AD50" s="83">
        <f t="shared" si="19"/>
        <v>24.936490463387958</v>
      </c>
      <c r="AE50" s="83">
        <f t="shared" si="19"/>
        <v>25.676690230438638</v>
      </c>
      <c r="AF50" s="83">
        <f t="shared" si="19"/>
        <v>25.970486211682438</v>
      </c>
      <c r="AG50" s="83">
        <f t="shared" si="19"/>
        <v>26.769829009475384</v>
      </c>
      <c r="AH50" s="83">
        <f t="shared" si="19"/>
        <v>25.897167514278749</v>
      </c>
      <c r="AI50" s="83">
        <f t="shared" si="19"/>
        <v>25.902559543886468</v>
      </c>
      <c r="AJ50" s="83">
        <f t="shared" ref="AJ50:BB50" si="20">AJ45*AJ$284/AJ$286+AJ46*AJ$285/AJ$286</f>
        <v>25.437224565792668</v>
      </c>
      <c r="AK50" s="83">
        <f t="shared" si="20"/>
        <v>25.008550294898658</v>
      </c>
      <c r="AL50" s="83">
        <f t="shared" si="20"/>
        <v>25.417999555816259</v>
      </c>
      <c r="AM50" s="83">
        <f t="shared" si="20"/>
        <v>26.078231127793721</v>
      </c>
      <c r="AN50" s="83">
        <f t="shared" si="20"/>
        <v>25.651849532938392</v>
      </c>
      <c r="AO50" s="83">
        <f t="shared" si="20"/>
        <v>25.817190268531142</v>
      </c>
      <c r="AP50" s="83">
        <f t="shared" si="20"/>
        <v>26.41643247790881</v>
      </c>
      <c r="AQ50" s="83">
        <f t="shared" si="20"/>
        <v>26.562444844897268</v>
      </c>
      <c r="AR50" s="83">
        <f t="shared" si="20"/>
        <v>26.644906168445836</v>
      </c>
      <c r="AS50" s="83">
        <f t="shared" si="20"/>
        <v>27.037342572628869</v>
      </c>
      <c r="AT50" s="83">
        <f t="shared" si="20"/>
        <v>27.114331958364513</v>
      </c>
      <c r="AU50" s="83">
        <f t="shared" si="20"/>
        <v>27.384264436441466</v>
      </c>
      <c r="AV50" s="83">
        <f t="shared" si="20"/>
        <v>27.537897616726589</v>
      </c>
      <c r="AW50" s="83">
        <f t="shared" si="20"/>
        <v>27.366503546228586</v>
      </c>
      <c r="AX50" s="83">
        <f t="shared" si="20"/>
        <v>27.771814730730803</v>
      </c>
      <c r="AY50" s="83">
        <f t="shared" si="20"/>
        <v>27.757336122113824</v>
      </c>
      <c r="AZ50" s="83">
        <f t="shared" si="20"/>
        <v>28.635086768387637</v>
      </c>
      <c r="BA50" s="83">
        <f t="shared" si="20"/>
        <v>29.419383034468524</v>
      </c>
      <c r="BB50" s="83">
        <f t="shared" si="20"/>
        <v>29.64599726007539</v>
      </c>
    </row>
    <row r="51" spans="3:54">
      <c r="C51" s="66" t="s">
        <v>282</v>
      </c>
      <c r="D51" s="82">
        <f t="shared" ref="D51:AI51" si="21">D47*D$281/D$283+D48*D$282/D$283</f>
        <v>0.14763239699834313</v>
      </c>
      <c r="E51" s="82">
        <f t="shared" si="21"/>
        <v>0.14737477549663267</v>
      </c>
      <c r="F51" s="82">
        <f t="shared" si="21"/>
        <v>0.14720665278984113</v>
      </c>
      <c r="G51" s="82">
        <f t="shared" si="21"/>
        <v>0.14693632282650526</v>
      </c>
      <c r="H51" s="82">
        <f t="shared" si="21"/>
        <v>0.14699474954390571</v>
      </c>
      <c r="I51" s="82">
        <f t="shared" si="21"/>
        <v>0.14712766261102131</v>
      </c>
      <c r="J51" s="82">
        <f t="shared" si="21"/>
        <v>0.14715526432209963</v>
      </c>
      <c r="K51" s="82">
        <f t="shared" si="21"/>
        <v>0.14721276536470465</v>
      </c>
      <c r="L51" s="82">
        <f t="shared" si="21"/>
        <v>0.14714253099884539</v>
      </c>
      <c r="M51" s="82">
        <f t="shared" si="21"/>
        <v>0.1470219170470678</v>
      </c>
      <c r="N51" s="82">
        <f t="shared" si="21"/>
        <v>0.1472999835144928</v>
      </c>
      <c r="O51" s="82">
        <f t="shared" si="21"/>
        <v>0.14824039505250283</v>
      </c>
      <c r="P51" s="82">
        <f t="shared" si="21"/>
        <v>0.14827057812020003</v>
      </c>
      <c r="Q51" s="82">
        <f t="shared" si="21"/>
        <v>0.1465475622730712</v>
      </c>
      <c r="R51" s="82">
        <f t="shared" si="21"/>
        <v>0.14742415452486934</v>
      </c>
      <c r="S51" s="82">
        <f t="shared" si="21"/>
        <v>0.15036117931815446</v>
      </c>
      <c r="T51" s="82">
        <f t="shared" si="21"/>
        <v>0.15095490304223652</v>
      </c>
      <c r="U51" s="82">
        <f t="shared" si="21"/>
        <v>0.14957088708385496</v>
      </c>
      <c r="V51" s="82">
        <f t="shared" si="21"/>
        <v>0.14837559578494805</v>
      </c>
      <c r="W51" s="82">
        <f t="shared" si="21"/>
        <v>0.14573275997339308</v>
      </c>
      <c r="X51" s="82">
        <f t="shared" si="21"/>
        <v>0.15099280477989488</v>
      </c>
      <c r="Y51" s="82">
        <f t="shared" si="21"/>
        <v>0.15620118045906745</v>
      </c>
      <c r="Z51" s="82">
        <f t="shared" si="21"/>
        <v>0.15555323110656968</v>
      </c>
      <c r="AA51" s="82">
        <f t="shared" si="21"/>
        <v>0.15346033732743328</v>
      </c>
      <c r="AB51" s="82">
        <f t="shared" si="21"/>
        <v>0.15353937333856801</v>
      </c>
      <c r="AC51" s="82">
        <f t="shared" si="21"/>
        <v>0.15360602548156096</v>
      </c>
      <c r="AD51" s="82">
        <f t="shared" si="21"/>
        <v>0.15132249723278485</v>
      </c>
      <c r="AE51" s="82">
        <f t="shared" si="21"/>
        <v>0.15526003751409223</v>
      </c>
      <c r="AF51" s="82">
        <f t="shared" si="21"/>
        <v>0.15645783431187543</v>
      </c>
      <c r="AG51" s="82">
        <f t="shared" si="21"/>
        <v>0.16185575659230395</v>
      </c>
      <c r="AH51" s="82">
        <f t="shared" si="21"/>
        <v>0.1617086296199047</v>
      </c>
      <c r="AI51" s="82">
        <f t="shared" si="21"/>
        <v>0.16363611561162922</v>
      </c>
      <c r="AJ51" s="82">
        <f t="shared" ref="AJ51:BB51" si="22">AJ47*AJ$281/AJ$283+AJ48*AJ$282/AJ$283</f>
        <v>0.16326563603009445</v>
      </c>
      <c r="AK51" s="82">
        <f t="shared" si="22"/>
        <v>0.16350738722587371</v>
      </c>
      <c r="AL51" s="82">
        <f t="shared" si="22"/>
        <v>0.16749700833758235</v>
      </c>
      <c r="AM51" s="82">
        <f t="shared" si="22"/>
        <v>0.17271189074931081</v>
      </c>
      <c r="AN51" s="82">
        <f t="shared" si="22"/>
        <v>0.17228131062597363</v>
      </c>
      <c r="AO51" s="82">
        <f t="shared" si="22"/>
        <v>0.17444457123391371</v>
      </c>
      <c r="AP51" s="82">
        <f t="shared" si="22"/>
        <v>0.17823139444533692</v>
      </c>
      <c r="AQ51" s="82">
        <f t="shared" si="22"/>
        <v>0.1804610713795789</v>
      </c>
      <c r="AR51" s="82">
        <f t="shared" si="22"/>
        <v>0.18183008634988565</v>
      </c>
      <c r="AS51" s="82">
        <f t="shared" si="22"/>
        <v>0.18471812966039275</v>
      </c>
      <c r="AT51" s="82">
        <f t="shared" si="22"/>
        <v>0.18628361331338614</v>
      </c>
      <c r="AU51" s="82">
        <f t="shared" si="22"/>
        <v>0.18894929588073028</v>
      </c>
      <c r="AV51" s="82">
        <f t="shared" si="22"/>
        <v>0.19114645023909277</v>
      </c>
      <c r="AW51" s="82">
        <f t="shared" si="22"/>
        <v>0.19170298586136666</v>
      </c>
      <c r="AX51" s="82">
        <f t="shared" si="22"/>
        <v>0.19508055161389612</v>
      </c>
      <c r="AY51" s="82">
        <f t="shared" si="22"/>
        <v>0.19630390684006505</v>
      </c>
      <c r="AZ51" s="82">
        <f t="shared" si="22"/>
        <v>0.20194351987759496</v>
      </c>
      <c r="BA51" s="82">
        <f t="shared" si="22"/>
        <v>0.20631768793228805</v>
      </c>
      <c r="BB51" s="82">
        <f t="shared" si="22"/>
        <v>0.20837792754899609</v>
      </c>
    </row>
    <row r="52" spans="3:54">
      <c r="C52" s="66"/>
      <c r="D52" s="82"/>
      <c r="E52" s="82"/>
      <c r="F52" s="82"/>
      <c r="G52" s="82"/>
      <c r="H52" s="82"/>
      <c r="I52" s="82"/>
      <c r="J52" s="82"/>
      <c r="K52" s="82"/>
      <c r="L52" s="82"/>
      <c r="M52" s="82"/>
      <c r="N52" s="82"/>
      <c r="O52" s="82"/>
      <c r="P52" s="82"/>
      <c r="Q52" s="82"/>
      <c r="R52" s="82"/>
      <c r="S52" s="82"/>
      <c r="T52" s="82"/>
      <c r="U52" s="82"/>
      <c r="V52" s="82"/>
      <c r="W52" s="82"/>
      <c r="X52" s="82"/>
      <c r="Y52" s="82"/>
      <c r="Z52" s="82"/>
      <c r="AA52" s="82"/>
      <c r="AB52" s="82"/>
      <c r="AC52" s="82"/>
      <c r="AD52" s="82"/>
      <c r="AE52" s="82"/>
      <c r="AF52" s="82"/>
      <c r="AG52" s="82"/>
      <c r="AH52" s="82"/>
      <c r="AI52" s="82"/>
      <c r="AJ52" s="82"/>
      <c r="AK52" s="82"/>
      <c r="AL52" s="82"/>
      <c r="AM52" s="82"/>
      <c r="AN52" s="82"/>
      <c r="AO52" s="82"/>
      <c r="AP52" s="82"/>
      <c r="AQ52" s="82"/>
      <c r="AR52" s="82"/>
      <c r="AS52" s="82"/>
      <c r="AT52" s="82"/>
      <c r="AU52" s="82"/>
      <c r="AV52" s="82"/>
      <c r="AW52" s="82"/>
      <c r="AX52" s="82"/>
      <c r="AY52" s="82"/>
      <c r="AZ52" s="82"/>
      <c r="BA52" s="82"/>
      <c r="BB52" s="82"/>
    </row>
    <row r="93" spans="3:56">
      <c r="C93" s="66"/>
      <c r="D93" s="46">
        <v>0.83299999999999996</v>
      </c>
    </row>
    <row r="94" spans="3:56">
      <c r="C94" s="66" t="s">
        <v>294</v>
      </c>
      <c r="D94" s="46" t="s">
        <v>295</v>
      </c>
      <c r="E94" s="38">
        <v>0</v>
      </c>
      <c r="F94" s="38">
        <v>10</v>
      </c>
      <c r="G94" s="38">
        <v>20</v>
      </c>
      <c r="H94" s="38">
        <v>30</v>
      </c>
      <c r="I94" s="38">
        <v>40</v>
      </c>
      <c r="J94" s="38">
        <v>50</v>
      </c>
      <c r="K94" s="38">
        <v>60</v>
      </c>
      <c r="L94" s="38">
        <v>70</v>
      </c>
      <c r="M94" s="38">
        <v>80</v>
      </c>
      <c r="N94" s="38">
        <v>90</v>
      </c>
      <c r="O94" s="38">
        <v>100</v>
      </c>
      <c r="P94" s="38">
        <v>110</v>
      </c>
      <c r="Q94" s="38">
        <v>120</v>
      </c>
      <c r="R94" s="38">
        <v>130</v>
      </c>
      <c r="S94" s="38">
        <v>140</v>
      </c>
      <c r="T94" s="38">
        <v>150</v>
      </c>
      <c r="U94" s="38">
        <v>160</v>
      </c>
      <c r="V94" s="38">
        <v>170</v>
      </c>
      <c r="W94" s="38">
        <v>180</v>
      </c>
      <c r="X94" s="38">
        <v>190</v>
      </c>
      <c r="Y94" s="38">
        <v>200</v>
      </c>
      <c r="Z94" s="38">
        <v>210</v>
      </c>
      <c r="AA94" s="38">
        <v>220</v>
      </c>
      <c r="AB94" s="38">
        <v>230</v>
      </c>
      <c r="AC94" s="38">
        <v>240</v>
      </c>
      <c r="AD94" s="38">
        <v>250</v>
      </c>
      <c r="AE94" s="38">
        <v>260</v>
      </c>
      <c r="AF94" s="38">
        <v>270</v>
      </c>
      <c r="AG94" s="38">
        <v>280</v>
      </c>
      <c r="AH94" s="38">
        <v>290</v>
      </c>
      <c r="AI94" s="38">
        <v>300</v>
      </c>
      <c r="AJ94" s="38">
        <v>310</v>
      </c>
      <c r="AK94" s="38">
        <v>320</v>
      </c>
      <c r="AL94" s="38">
        <v>330</v>
      </c>
      <c r="AM94" s="38">
        <v>340</v>
      </c>
      <c r="AN94" s="38">
        <v>350</v>
      </c>
      <c r="AO94" s="38">
        <v>360</v>
      </c>
      <c r="AP94" s="38">
        <v>370</v>
      </c>
      <c r="AQ94" s="38">
        <v>380</v>
      </c>
      <c r="AR94" s="38">
        <v>390</v>
      </c>
      <c r="AS94" s="38">
        <v>400</v>
      </c>
      <c r="AT94" s="38">
        <v>410</v>
      </c>
      <c r="AU94" s="38">
        <v>420</v>
      </c>
      <c r="AV94" s="38">
        <v>430</v>
      </c>
      <c r="AW94" s="38">
        <v>440</v>
      </c>
      <c r="AX94" s="38">
        <v>450</v>
      </c>
      <c r="AY94" s="38">
        <v>460</v>
      </c>
      <c r="AZ94" s="38">
        <v>470</v>
      </c>
      <c r="BA94" s="38">
        <v>480</v>
      </c>
      <c r="BB94" s="38">
        <v>490</v>
      </c>
    </row>
    <row r="95" spans="3:56">
      <c r="C95" s="66" t="s">
        <v>296</v>
      </c>
      <c r="D95" s="46" t="s">
        <v>297</v>
      </c>
      <c r="E95" s="38">
        <v>0</v>
      </c>
      <c r="F95" s="78">
        <f t="shared" ref="F95:BB95" si="23">10*LOG(0.416*F94)/100</f>
        <v>6.1909333062674279E-2</v>
      </c>
      <c r="G95" s="84">
        <f t="shared" si="23"/>
        <v>9.2012332629072394E-2</v>
      </c>
      <c r="H95" s="78">
        <f t="shared" si="23"/>
        <v>0.1096214585346405</v>
      </c>
      <c r="I95" s="78">
        <f t="shared" si="23"/>
        <v>0.12211533219547049</v>
      </c>
      <c r="J95" s="78">
        <f t="shared" si="23"/>
        <v>0.13180633349627616</v>
      </c>
      <c r="K95" s="78">
        <f t="shared" si="23"/>
        <v>0.13972445810103865</v>
      </c>
      <c r="L95" s="78">
        <f t="shared" si="23"/>
        <v>0.14641913706409995</v>
      </c>
      <c r="M95" s="78">
        <f t="shared" si="23"/>
        <v>0.15221833176186864</v>
      </c>
      <c r="N95" s="78">
        <f t="shared" si="23"/>
        <v>0.15733358400660674</v>
      </c>
      <c r="O95" s="78">
        <f t="shared" si="23"/>
        <v>0.1619093330626743</v>
      </c>
      <c r="P95" s="78">
        <f t="shared" si="23"/>
        <v>0.1660486015784968</v>
      </c>
      <c r="Q95" s="78">
        <f t="shared" si="23"/>
        <v>0.16982745766743676</v>
      </c>
      <c r="R95" s="78">
        <f t="shared" si="23"/>
        <v>0.17330366829335794</v>
      </c>
      <c r="S95" s="78">
        <f t="shared" si="23"/>
        <v>0.17652213663049807</v>
      </c>
      <c r="T95" s="78">
        <f t="shared" si="23"/>
        <v>0.17951845896824239</v>
      </c>
      <c r="U95" s="78">
        <f t="shared" si="23"/>
        <v>0.18232133132826675</v>
      </c>
      <c r="V95" s="78">
        <f t="shared" si="23"/>
        <v>0.18495422520050167</v>
      </c>
      <c r="W95" s="78">
        <f t="shared" si="23"/>
        <v>0.18743658357300488</v>
      </c>
      <c r="X95" s="78">
        <f t="shared" si="23"/>
        <v>0.18978469315795718</v>
      </c>
      <c r="Y95" s="78">
        <f t="shared" si="23"/>
        <v>0.19201233262907241</v>
      </c>
      <c r="Z95" s="78">
        <f t="shared" si="23"/>
        <v>0.19413126253606619</v>
      </c>
      <c r="AA95" s="78">
        <f t="shared" si="23"/>
        <v>0.19615160114489491</v>
      </c>
      <c r="AB95" s="78">
        <f t="shared" si="23"/>
        <v>0.19808211666443357</v>
      </c>
      <c r="AC95" s="78">
        <f t="shared" si="23"/>
        <v>0.19993045723383487</v>
      </c>
      <c r="AD95" s="78">
        <f t="shared" si="23"/>
        <v>0.20170333392987805</v>
      </c>
      <c r="AE95" s="78">
        <f t="shared" si="23"/>
        <v>0.20340666785975606</v>
      </c>
      <c r="AF95" s="78">
        <f t="shared" si="23"/>
        <v>0.20504570947857303</v>
      </c>
      <c r="AG95" s="78">
        <f t="shared" si="23"/>
        <v>0.20662513619689618</v>
      </c>
      <c r="AH95" s="78">
        <f t="shared" si="23"/>
        <v>0.20814913285256989</v>
      </c>
      <c r="AI95" s="78">
        <f t="shared" si="23"/>
        <v>0.20962145853464054</v>
      </c>
      <c r="AJ95" s="78">
        <f t="shared" si="23"/>
        <v>0.21104550244610151</v>
      </c>
      <c r="AK95" s="78">
        <f t="shared" si="23"/>
        <v>0.21242433089466486</v>
      </c>
      <c r="AL95" s="78">
        <f t="shared" si="23"/>
        <v>0.21376072705046303</v>
      </c>
      <c r="AM95" s="78">
        <f t="shared" si="23"/>
        <v>0.21505722476689976</v>
      </c>
      <c r="AN95" s="78">
        <f t="shared" si="23"/>
        <v>0.21631613749770184</v>
      </c>
      <c r="AO95" s="78">
        <f t="shared" si="23"/>
        <v>0.21753958313940303</v>
      </c>
      <c r="AP95" s="78">
        <f t="shared" si="23"/>
        <v>0.21872950546937378</v>
      </c>
      <c r="AQ95" s="78">
        <f t="shared" si="23"/>
        <v>0.21988769272435529</v>
      </c>
      <c r="AR95" s="78">
        <f t="shared" si="23"/>
        <v>0.22101579376532421</v>
      </c>
      <c r="AS95" s="78">
        <f t="shared" si="23"/>
        <v>0.22211533219547053</v>
      </c>
      <c r="AT95" s="78">
        <f t="shared" si="23"/>
        <v>0.22318771873464782</v>
      </c>
      <c r="AU95" s="78">
        <f t="shared" si="23"/>
        <v>0.22423426210246433</v>
      </c>
      <c r="AV95" s="78">
        <f t="shared" si="23"/>
        <v>0.22525617862063294</v>
      </c>
      <c r="AW95" s="78">
        <f t="shared" si="23"/>
        <v>0.22625460071129302</v>
      </c>
      <c r="AX95" s="78">
        <f t="shared" si="23"/>
        <v>0.22723058444020863</v>
      </c>
      <c r="AY95" s="78">
        <f t="shared" si="23"/>
        <v>0.22818511623083168</v>
      </c>
      <c r="AZ95" s="78">
        <f t="shared" si="23"/>
        <v>0.22911911885624606</v>
      </c>
      <c r="BA95" s="78">
        <f t="shared" si="23"/>
        <v>0.23003345680023302</v>
      </c>
      <c r="BB95" s="78">
        <f t="shared" si="23"/>
        <v>0.23092894106552567</v>
      </c>
      <c r="BC95" s="85"/>
      <c r="BD95" s="78"/>
    </row>
    <row r="96" spans="3:56">
      <c r="C96" s="66" t="s">
        <v>298</v>
      </c>
      <c r="D96" s="46" t="s">
        <v>299</v>
      </c>
      <c r="E96" s="38">
        <v>0</v>
      </c>
      <c r="F96" s="78">
        <f>12.5*LOG(0.416*F94)/100</f>
        <v>7.7386666328342846E-2</v>
      </c>
      <c r="G96" s="84">
        <f>12.5*LOG(0.416*G94)/100</f>
        <v>0.11501541578634049</v>
      </c>
      <c r="H96" s="78">
        <f>12.5*LOG(0.416*H94)/100</f>
        <v>0.13702682316830064</v>
      </c>
      <c r="I96" s="78">
        <f t="shared" ref="I96:BB96" si="24">12.5*LOG(0.416*I94)/100</f>
        <v>0.15264416524433813</v>
      </c>
      <c r="J96" s="78">
        <f t="shared" si="24"/>
        <v>0.16475791687034519</v>
      </c>
      <c r="K96" s="78">
        <f t="shared" si="24"/>
        <v>0.1746555726262983</v>
      </c>
      <c r="L96" s="78">
        <f t="shared" si="24"/>
        <v>0.18302392133012493</v>
      </c>
      <c r="M96" s="78">
        <f t="shared" si="24"/>
        <v>0.19027291470233579</v>
      </c>
      <c r="N96" s="78">
        <f t="shared" si="24"/>
        <v>0.19666698000825844</v>
      </c>
      <c r="O96" s="78">
        <f t="shared" si="24"/>
        <v>0.20238666632834285</v>
      </c>
      <c r="P96" s="78">
        <f t="shared" si="24"/>
        <v>0.20756075197312096</v>
      </c>
      <c r="Q96" s="78">
        <f t="shared" si="24"/>
        <v>0.21228432208429593</v>
      </c>
      <c r="R96" s="78">
        <f t="shared" si="24"/>
        <v>0.21662958536669744</v>
      </c>
      <c r="S96" s="78">
        <f t="shared" si="24"/>
        <v>0.22065267078812259</v>
      </c>
      <c r="T96" s="78">
        <f t="shared" si="24"/>
        <v>0.22439807371030299</v>
      </c>
      <c r="U96" s="78">
        <f t="shared" si="24"/>
        <v>0.22790166416033344</v>
      </c>
      <c r="V96" s="78">
        <f t="shared" si="24"/>
        <v>0.23119278150062708</v>
      </c>
      <c r="W96" s="78">
        <f t="shared" si="24"/>
        <v>0.2342957294662561</v>
      </c>
      <c r="X96" s="78">
        <f t="shared" si="24"/>
        <v>0.23723086644744643</v>
      </c>
      <c r="Y96" s="78">
        <f t="shared" si="24"/>
        <v>0.2400154157863405</v>
      </c>
      <c r="Z96" s="78">
        <f t="shared" si="24"/>
        <v>0.24266407817008276</v>
      </c>
      <c r="AA96" s="78">
        <f t="shared" si="24"/>
        <v>0.24518950143111862</v>
      </c>
      <c r="AB96" s="78">
        <f t="shared" si="24"/>
        <v>0.24760264583054195</v>
      </c>
      <c r="AC96" s="78">
        <f t="shared" si="24"/>
        <v>0.24991307154229359</v>
      </c>
      <c r="AD96" s="78">
        <f t="shared" si="24"/>
        <v>0.25212916741234753</v>
      </c>
      <c r="AE96" s="78">
        <f t="shared" si="24"/>
        <v>0.25425833482469506</v>
      </c>
      <c r="AF96" s="78">
        <f t="shared" si="24"/>
        <v>0.25630713684821627</v>
      </c>
      <c r="AG96" s="78">
        <f t="shared" si="24"/>
        <v>0.25828142024612022</v>
      </c>
      <c r="AH96" s="78">
        <f t="shared" si="24"/>
        <v>0.26018641606571236</v>
      </c>
      <c r="AI96" s="78">
        <f t="shared" si="24"/>
        <v>0.26202682316830067</v>
      </c>
      <c r="AJ96" s="78">
        <f t="shared" si="24"/>
        <v>0.26380687805762693</v>
      </c>
      <c r="AK96" s="78">
        <f t="shared" si="24"/>
        <v>0.26553041361833107</v>
      </c>
      <c r="AL96" s="78">
        <f t="shared" si="24"/>
        <v>0.26720090881307879</v>
      </c>
      <c r="AM96" s="78">
        <f t="shared" si="24"/>
        <v>0.26882153095862471</v>
      </c>
      <c r="AN96" s="78">
        <f t="shared" si="24"/>
        <v>0.2703951718721273</v>
      </c>
      <c r="AO96" s="78">
        <f t="shared" si="24"/>
        <v>0.27192447892425375</v>
      </c>
      <c r="AP96" s="78">
        <f t="shared" si="24"/>
        <v>0.27341188183671722</v>
      </c>
      <c r="AQ96" s="78">
        <f t="shared" si="24"/>
        <v>0.27485961590544411</v>
      </c>
      <c r="AR96" s="78">
        <f t="shared" si="24"/>
        <v>0.27626974220665523</v>
      </c>
      <c r="AS96" s="78">
        <f t="shared" si="24"/>
        <v>0.27764416524433816</v>
      </c>
      <c r="AT96" s="78">
        <f t="shared" si="24"/>
        <v>0.27898464841830978</v>
      </c>
      <c r="AU96" s="78">
        <f t="shared" si="24"/>
        <v>0.28029282762808039</v>
      </c>
      <c r="AV96" s="78">
        <f t="shared" si="24"/>
        <v>0.28157022327579118</v>
      </c>
      <c r="AW96" s="78">
        <f t="shared" si="24"/>
        <v>0.28281825088911627</v>
      </c>
      <c r="AX96" s="78">
        <f t="shared" si="24"/>
        <v>0.28403823055026078</v>
      </c>
      <c r="AY96" s="78">
        <f t="shared" si="24"/>
        <v>0.28523139528853958</v>
      </c>
      <c r="AZ96" s="78">
        <f t="shared" si="24"/>
        <v>0.28639889857030754</v>
      </c>
      <c r="BA96" s="78">
        <f t="shared" si="24"/>
        <v>0.28754182100029124</v>
      </c>
      <c r="BB96" s="78">
        <f t="shared" si="24"/>
        <v>0.28866117633190708</v>
      </c>
      <c r="BC96" s="85"/>
      <c r="BD96" s="78"/>
    </row>
    <row r="97" spans="1:62">
      <c r="A97" s="86"/>
      <c r="B97" s="86"/>
      <c r="C97" s="66" t="s">
        <v>300</v>
      </c>
      <c r="D97" s="46" t="s">
        <v>299</v>
      </c>
      <c r="E97" s="38">
        <v>0</v>
      </c>
      <c r="F97" s="78">
        <f>8*LOG(F94*1.25)/100</f>
        <v>8.7752801040644521E-2</v>
      </c>
      <c r="G97" s="78">
        <f t="shared" ref="G97:BB97" si="25">8*LOG(G94*1.25)/100</f>
        <v>0.11183520069376301</v>
      </c>
      <c r="H97" s="78">
        <f t="shared" si="25"/>
        <v>0.12592250141821751</v>
      </c>
      <c r="I97" s="78">
        <f t="shared" si="25"/>
        <v>0.1359176003468815</v>
      </c>
      <c r="J97" s="78">
        <f t="shared" si="25"/>
        <v>0.14367040138752601</v>
      </c>
      <c r="K97" s="78">
        <f t="shared" si="25"/>
        <v>0.15000490107133602</v>
      </c>
      <c r="L97" s="78">
        <f t="shared" si="25"/>
        <v>0.15536064424178506</v>
      </c>
      <c r="M97" s="78">
        <f t="shared" si="25"/>
        <v>0.16</v>
      </c>
      <c r="N97" s="78">
        <f t="shared" si="25"/>
        <v>0.16409220179579051</v>
      </c>
      <c r="O97" s="78">
        <f t="shared" si="25"/>
        <v>0.16775280104064449</v>
      </c>
      <c r="P97" s="78">
        <f t="shared" si="25"/>
        <v>0.17106421585330253</v>
      </c>
      <c r="Q97" s="78">
        <f t="shared" si="25"/>
        <v>0.1740873007244545</v>
      </c>
      <c r="R97" s="78">
        <f t="shared" si="25"/>
        <v>0.17686826922519144</v>
      </c>
      <c r="S97" s="78">
        <f t="shared" si="25"/>
        <v>0.17944304389490356</v>
      </c>
      <c r="T97" s="78">
        <f t="shared" si="25"/>
        <v>0.18184010176509902</v>
      </c>
      <c r="U97" s="78">
        <f t="shared" si="25"/>
        <v>0.18408239965311851</v>
      </c>
      <c r="V97" s="78">
        <f t="shared" si="25"/>
        <v>0.18618871475090643</v>
      </c>
      <c r="W97" s="78">
        <f t="shared" si="25"/>
        <v>0.18817460144890902</v>
      </c>
      <c r="X97" s="78">
        <f t="shared" si="25"/>
        <v>0.19005308911687085</v>
      </c>
      <c r="Y97" s="78">
        <f t="shared" si="25"/>
        <v>0.191835200693763</v>
      </c>
      <c r="Z97" s="78">
        <f t="shared" si="25"/>
        <v>0.19353034461935806</v>
      </c>
      <c r="AA97" s="78">
        <f t="shared" si="25"/>
        <v>0.19514661550642104</v>
      </c>
      <c r="AB97" s="78">
        <f t="shared" si="25"/>
        <v>0.19669102792205195</v>
      </c>
      <c r="AC97" s="78">
        <f t="shared" si="25"/>
        <v>0.198169700377573</v>
      </c>
      <c r="AD97" s="78">
        <f t="shared" si="25"/>
        <v>0.19958800173440752</v>
      </c>
      <c r="AE97" s="78">
        <f t="shared" si="25"/>
        <v>0.20095066887830995</v>
      </c>
      <c r="AF97" s="78">
        <f t="shared" si="25"/>
        <v>0.20226190217336348</v>
      </c>
      <c r="AG97" s="78">
        <f t="shared" si="25"/>
        <v>0.20352544354802204</v>
      </c>
      <c r="AH97" s="78">
        <f t="shared" si="25"/>
        <v>0.20474464087256097</v>
      </c>
      <c r="AI97" s="78">
        <f t="shared" si="25"/>
        <v>0.2059225014182175</v>
      </c>
      <c r="AJ97" s="78">
        <f t="shared" si="25"/>
        <v>0.2070617365473863</v>
      </c>
      <c r="AK97" s="78">
        <f t="shared" si="25"/>
        <v>0.20816479930623699</v>
      </c>
      <c r="AL97" s="78">
        <f t="shared" si="25"/>
        <v>0.20923391623087551</v>
      </c>
      <c r="AM97" s="78">
        <f t="shared" si="25"/>
        <v>0.21027111440402493</v>
      </c>
      <c r="AN97" s="78">
        <f t="shared" si="25"/>
        <v>0.21127824458866656</v>
      </c>
      <c r="AO97" s="78">
        <f t="shared" si="25"/>
        <v>0.21225700110202747</v>
      </c>
      <c r="AP97" s="78">
        <f t="shared" si="25"/>
        <v>0.2132089389660041</v>
      </c>
      <c r="AQ97" s="78">
        <f t="shared" si="25"/>
        <v>0.21413548876998931</v>
      </c>
      <c r="AR97" s="78">
        <f t="shared" si="25"/>
        <v>0.21503796960276447</v>
      </c>
      <c r="AS97" s="78">
        <f t="shared" si="25"/>
        <v>0.21591760034688151</v>
      </c>
      <c r="AT97" s="78">
        <f t="shared" si="25"/>
        <v>0.21677550957822334</v>
      </c>
      <c r="AU97" s="78">
        <f t="shared" si="25"/>
        <v>0.21761274427247657</v>
      </c>
      <c r="AV97" s="78">
        <f t="shared" si="25"/>
        <v>0.21843027748701144</v>
      </c>
      <c r="AW97" s="78">
        <f t="shared" si="25"/>
        <v>0.21922901515953949</v>
      </c>
      <c r="AX97" s="78">
        <f t="shared" si="25"/>
        <v>0.22000980214267202</v>
      </c>
      <c r="AY97" s="78">
        <f t="shared" si="25"/>
        <v>0.22077342757517043</v>
      </c>
      <c r="AZ97" s="78">
        <f t="shared" si="25"/>
        <v>0.2215206296755019</v>
      </c>
      <c r="BA97" s="78">
        <f t="shared" si="25"/>
        <v>0.22225210003069149</v>
      </c>
      <c r="BB97" s="78">
        <f t="shared" si="25"/>
        <v>0.22296848744292561</v>
      </c>
      <c r="BC97" s="85"/>
      <c r="BD97" s="78"/>
    </row>
    <row r="98" spans="1:62">
      <c r="A98" s="87"/>
      <c r="B98" s="87"/>
      <c r="C98" s="66" t="s">
        <v>301</v>
      </c>
      <c r="D98" s="46" t="s">
        <v>297</v>
      </c>
      <c r="E98" s="38">
        <v>0</v>
      </c>
      <c r="F98" s="84">
        <f>16.8*LOG(0.1916*F94)/100</f>
        <v>4.744244479674431E-2</v>
      </c>
      <c r="G98" s="84">
        <f>16.8*LOG(0.1916*G94)/100</f>
        <v>9.8015484068293135E-2</v>
      </c>
      <c r="H98" s="87">
        <f>16.8*LOG(0.1916*H94)/100</f>
        <v>0.12759881558964759</v>
      </c>
      <c r="I98" s="87">
        <f t="shared" ref="I98:T98" si="26">16.8*LOG(0.1916*I94)/100</f>
        <v>0.14858852333984199</v>
      </c>
      <c r="J98" s="87">
        <f t="shared" si="26"/>
        <v>0.16486940552519549</v>
      </c>
      <c r="K98" s="87">
        <f t="shared" si="26"/>
        <v>0.17817185486119641</v>
      </c>
      <c r="L98" s="87">
        <f t="shared" si="26"/>
        <v>0.18941891551913945</v>
      </c>
      <c r="M98" s="87">
        <f t="shared" si="26"/>
        <v>0.19916156261139084</v>
      </c>
      <c r="N98" s="87">
        <f t="shared" si="26"/>
        <v>0.20775518638255089</v>
      </c>
      <c r="O98" s="87">
        <f t="shared" si="26"/>
        <v>0.21544244479674429</v>
      </c>
      <c r="P98" s="87">
        <f t="shared" si="26"/>
        <v>0.22239641590332609</v>
      </c>
      <c r="Q98" s="87">
        <f t="shared" si="26"/>
        <v>0.22874489413274529</v>
      </c>
      <c r="R98" s="87">
        <f t="shared" si="26"/>
        <v>0.2345849279842929</v>
      </c>
      <c r="S98" s="87">
        <f t="shared" si="26"/>
        <v>0.2399919547906883</v>
      </c>
      <c r="T98" s="87">
        <f t="shared" si="26"/>
        <v>0.24502577631809877</v>
      </c>
      <c r="U98" s="87"/>
      <c r="V98" s="87"/>
      <c r="W98" s="87"/>
      <c r="X98" s="87"/>
      <c r="Y98" s="87"/>
      <c r="Z98" s="87"/>
      <c r="AA98" s="87"/>
      <c r="AB98" s="87"/>
      <c r="AC98" s="87"/>
      <c r="AD98" s="87"/>
      <c r="AE98" s="87"/>
      <c r="AF98" s="87"/>
      <c r="AG98" s="87"/>
      <c r="AH98" s="87"/>
      <c r="AI98" s="87"/>
      <c r="AJ98" s="87"/>
      <c r="AK98" s="87"/>
      <c r="AL98" s="87"/>
      <c r="AM98" s="87"/>
      <c r="AN98" s="87"/>
      <c r="AO98" s="87"/>
      <c r="AP98" s="87"/>
      <c r="AQ98" s="87"/>
      <c r="AR98" s="87"/>
      <c r="AS98" s="87"/>
      <c r="AT98" s="87"/>
      <c r="AU98" s="87"/>
      <c r="AV98" s="87"/>
      <c r="AW98" s="87"/>
      <c r="AX98" s="87"/>
      <c r="AY98" s="87"/>
      <c r="AZ98" s="87"/>
      <c r="BA98" s="87"/>
      <c r="BB98" s="87"/>
      <c r="BC98" s="85"/>
      <c r="BD98" s="78"/>
    </row>
    <row r="99" spans="1:62">
      <c r="A99" s="87"/>
      <c r="B99" s="87"/>
      <c r="C99" s="66" t="s">
        <v>302</v>
      </c>
      <c r="D99" s="46" t="s">
        <v>299</v>
      </c>
      <c r="E99" s="38">
        <v>0</v>
      </c>
      <c r="F99" s="84">
        <f>21*LOG(0.1916*F94)/100</f>
        <v>5.930305599593038E-2</v>
      </c>
      <c r="G99" s="84">
        <f>21*LOG(0.1916*G94)/100</f>
        <v>0.12251935508536642</v>
      </c>
      <c r="H99" s="87">
        <f>21*LOG(0.1916*H94)/100</f>
        <v>0.15949851948705948</v>
      </c>
      <c r="I99" s="87">
        <f t="shared" ref="I99:T99" si="27">21*LOG(0.1916*I94)/100</f>
        <v>0.18573565417480251</v>
      </c>
      <c r="J99" s="87">
        <f t="shared" si="27"/>
        <v>0.20608675690649433</v>
      </c>
      <c r="K99" s="87">
        <f t="shared" si="27"/>
        <v>0.2227148185764955</v>
      </c>
      <c r="L99" s="87">
        <f t="shared" si="27"/>
        <v>0.23677364439892432</v>
      </c>
      <c r="M99" s="87">
        <f t="shared" si="27"/>
        <v>0.24895195326423855</v>
      </c>
      <c r="N99" s="87">
        <f t="shared" si="27"/>
        <v>0.25969398297818858</v>
      </c>
      <c r="O99" s="87">
        <f t="shared" si="27"/>
        <v>0.26930305599593035</v>
      </c>
      <c r="P99" s="87">
        <f t="shared" si="27"/>
        <v>0.2779955198791576</v>
      </c>
      <c r="Q99" s="87">
        <f t="shared" si="27"/>
        <v>0.2859311176659316</v>
      </c>
      <c r="R99" s="87">
        <f t="shared" si="27"/>
        <v>0.29323115998036614</v>
      </c>
      <c r="S99" s="87">
        <f t="shared" si="27"/>
        <v>0.29998994348836039</v>
      </c>
      <c r="T99" s="87">
        <f t="shared" si="27"/>
        <v>0.30628222039762343</v>
      </c>
      <c r="U99" s="87"/>
      <c r="V99" s="87"/>
      <c r="W99" s="87"/>
      <c r="X99" s="87"/>
      <c r="Y99" s="87"/>
      <c r="Z99" s="87"/>
      <c r="AA99" s="87"/>
      <c r="AB99" s="87"/>
      <c r="AC99" s="87"/>
      <c r="AD99" s="87"/>
      <c r="AE99" s="87"/>
      <c r="AF99" s="87"/>
      <c r="AG99" s="87"/>
      <c r="AH99" s="87"/>
      <c r="AI99" s="87"/>
      <c r="AJ99" s="87"/>
      <c r="AK99" s="87"/>
      <c r="AL99" s="87"/>
      <c r="AM99" s="87"/>
      <c r="AN99" s="87"/>
      <c r="AO99" s="87"/>
      <c r="AP99" s="87"/>
      <c r="AQ99" s="87"/>
      <c r="AR99" s="87"/>
      <c r="AS99" s="87"/>
      <c r="AT99" s="87"/>
      <c r="AU99" s="87"/>
      <c r="AV99" s="87"/>
      <c r="AW99" s="87"/>
      <c r="AX99" s="87"/>
      <c r="AY99" s="87"/>
      <c r="AZ99" s="87"/>
      <c r="BA99" s="87"/>
      <c r="BB99" s="87"/>
      <c r="BC99" s="85"/>
      <c r="BD99" s="78"/>
    </row>
    <row r="100" spans="1:62">
      <c r="C100" s="46" t="s">
        <v>303</v>
      </c>
      <c r="E100" s="82">
        <f t="shared" ref="E100:O100" si="28">E94*0.52%</f>
        <v>0</v>
      </c>
      <c r="F100" s="82">
        <f t="shared" si="28"/>
        <v>5.1999999999999998E-2</v>
      </c>
      <c r="G100" s="74">
        <f t="shared" si="28"/>
        <v>0.104</v>
      </c>
      <c r="H100" s="82">
        <f t="shared" si="28"/>
        <v>0.156</v>
      </c>
      <c r="I100" s="82">
        <f t="shared" si="28"/>
        <v>0.20799999999999999</v>
      </c>
      <c r="J100" s="82">
        <f t="shared" si="28"/>
        <v>0.26</v>
      </c>
      <c r="K100" s="82">
        <f t="shared" si="28"/>
        <v>0.312</v>
      </c>
      <c r="L100" s="82">
        <f t="shared" si="28"/>
        <v>0.36399999999999999</v>
      </c>
      <c r="M100" s="82">
        <f t="shared" si="28"/>
        <v>0.41599999999999998</v>
      </c>
      <c r="N100" s="82">
        <f t="shared" si="28"/>
        <v>0.46799999999999997</v>
      </c>
      <c r="O100" s="82">
        <f t="shared" si="28"/>
        <v>0.52</v>
      </c>
    </row>
    <row r="105" spans="1:62">
      <c r="A105" s="38" t="s">
        <v>304</v>
      </c>
    </row>
    <row r="106" spans="1:62">
      <c r="A106" s="38" t="s">
        <v>305</v>
      </c>
      <c r="D106" s="38">
        <v>1960</v>
      </c>
      <c r="E106" s="38">
        <v>1961</v>
      </c>
      <c r="F106" s="38">
        <v>1962</v>
      </c>
      <c r="G106" s="38">
        <v>1963</v>
      </c>
      <c r="H106" s="38">
        <v>1964</v>
      </c>
      <c r="I106" s="38">
        <v>1965</v>
      </c>
      <c r="J106" s="38">
        <v>1966</v>
      </c>
      <c r="K106" s="38">
        <v>1967</v>
      </c>
      <c r="L106" s="38">
        <v>1968</v>
      </c>
      <c r="M106" s="38">
        <v>1969</v>
      </c>
      <c r="N106" s="38">
        <v>1970</v>
      </c>
      <c r="O106" s="38">
        <v>1971</v>
      </c>
      <c r="P106" s="38">
        <v>1972</v>
      </c>
      <c r="Q106" s="38">
        <v>1973</v>
      </c>
      <c r="R106" s="38">
        <v>1974</v>
      </c>
      <c r="S106" s="38">
        <v>1975</v>
      </c>
      <c r="T106" s="38">
        <v>1976</v>
      </c>
      <c r="U106" s="38">
        <v>1977</v>
      </c>
      <c r="V106" s="38">
        <v>1978</v>
      </c>
      <c r="W106" s="38">
        <v>1979</v>
      </c>
      <c r="X106" s="38">
        <v>1980</v>
      </c>
      <c r="Y106" s="38">
        <v>1981</v>
      </c>
      <c r="Z106" s="38">
        <v>1982</v>
      </c>
      <c r="AA106" s="38">
        <v>1983</v>
      </c>
      <c r="AB106" s="38">
        <v>1984</v>
      </c>
      <c r="AC106" s="38">
        <v>1985</v>
      </c>
      <c r="AD106" s="38">
        <v>1986</v>
      </c>
      <c r="AE106" s="38">
        <v>1987</v>
      </c>
      <c r="AF106" s="38">
        <v>1988</v>
      </c>
      <c r="AG106" s="38">
        <v>1989</v>
      </c>
      <c r="AH106" s="38">
        <v>1990</v>
      </c>
      <c r="AI106" s="38">
        <v>1991</v>
      </c>
      <c r="AJ106" s="38">
        <v>1992</v>
      </c>
      <c r="AK106" s="38">
        <v>1993</v>
      </c>
      <c r="AL106" s="38">
        <v>1994</v>
      </c>
      <c r="AM106" s="38">
        <v>1995</v>
      </c>
      <c r="AN106" s="38">
        <v>1996</v>
      </c>
      <c r="AO106" s="38">
        <v>1997</v>
      </c>
      <c r="AP106" s="38">
        <v>1998</v>
      </c>
      <c r="AQ106" s="38">
        <v>1999</v>
      </c>
      <c r="AR106" s="38">
        <v>2000</v>
      </c>
      <c r="AS106" s="38">
        <v>2001</v>
      </c>
      <c r="AT106" s="38">
        <v>2002</v>
      </c>
      <c r="AU106" s="38">
        <v>2003</v>
      </c>
      <c r="AV106" s="38">
        <v>2004</v>
      </c>
      <c r="AW106" s="38">
        <v>2005</v>
      </c>
      <c r="AX106" s="38">
        <v>2006</v>
      </c>
      <c r="AY106" s="38">
        <v>2007</v>
      </c>
      <c r="AZ106" s="38">
        <v>2008</v>
      </c>
      <c r="BA106" s="38">
        <v>2009</v>
      </c>
      <c r="BB106" s="38">
        <v>2010</v>
      </c>
    </row>
    <row r="107" spans="1:62">
      <c r="A107" s="88">
        <v>4463</v>
      </c>
      <c r="B107" s="88"/>
      <c r="C107" s="88" t="s">
        <v>306</v>
      </c>
      <c r="D107" s="89">
        <v>8141.4920000000002</v>
      </c>
      <c r="E107" s="89">
        <v>8694.277</v>
      </c>
      <c r="F107" s="89">
        <v>9146.1740000000009</v>
      </c>
      <c r="G107" s="89">
        <v>9656.9220000000005</v>
      </c>
      <c r="H107" s="89">
        <v>10689.977999999999</v>
      </c>
      <c r="I107" s="89">
        <v>11466.609</v>
      </c>
      <c r="J107" s="89">
        <v>12089.806</v>
      </c>
      <c r="K107" s="89">
        <v>12903.22</v>
      </c>
      <c r="L107" s="89">
        <v>13675.647000000001</v>
      </c>
      <c r="M107" s="89">
        <v>14128.594999999999</v>
      </c>
      <c r="N107" s="89">
        <v>14959.874</v>
      </c>
      <c r="O107" s="89">
        <v>15725.995999999999</v>
      </c>
      <c r="P107" s="89">
        <v>16708.608</v>
      </c>
      <c r="Q107" s="89">
        <v>17788.955999999998</v>
      </c>
      <c r="R107" s="89">
        <v>17323.397000000001</v>
      </c>
      <c r="S107" s="89">
        <v>16946.116000000002</v>
      </c>
      <c r="T107" s="89">
        <v>17738.511999999999</v>
      </c>
      <c r="U107" s="89">
        <v>18218.782999999999</v>
      </c>
      <c r="V107" s="89">
        <v>19282.315999999999</v>
      </c>
      <c r="W107" s="89">
        <v>19636.476999999999</v>
      </c>
      <c r="X107" s="89">
        <v>20119.901000000002</v>
      </c>
      <c r="Y107" s="89">
        <v>19671.156999999999</v>
      </c>
      <c r="Z107" s="89">
        <v>20227.095000000001</v>
      </c>
      <c r="AA107" s="89">
        <v>20562.339</v>
      </c>
      <c r="AB107" s="89">
        <v>21255.947</v>
      </c>
      <c r="AC107" s="89">
        <v>21441.96</v>
      </c>
      <c r="AD107" s="89">
        <v>22563.294000000002</v>
      </c>
      <c r="AE107" s="89">
        <v>23313.651999999998</v>
      </c>
      <c r="AF107" s="89">
        <v>24432.883999999998</v>
      </c>
      <c r="AG107" s="89">
        <v>25142.257000000001</v>
      </c>
      <c r="AH107" s="89">
        <v>25550.013999999999</v>
      </c>
      <c r="AI107" s="89">
        <v>25244.196</v>
      </c>
      <c r="AJ107" s="89">
        <v>25268.366999999998</v>
      </c>
      <c r="AK107" s="89">
        <v>24976.210999999999</v>
      </c>
      <c r="AL107" s="89">
        <v>24006.21</v>
      </c>
      <c r="AM107" s="89">
        <v>23070.888999999999</v>
      </c>
      <c r="AN107" s="89">
        <v>23550.11</v>
      </c>
      <c r="AO107" s="89">
        <v>23385.115000000002</v>
      </c>
      <c r="AP107" s="89">
        <v>22960.543000000001</v>
      </c>
      <c r="AQ107" s="89">
        <v>23747.683000000001</v>
      </c>
      <c r="AR107" s="89">
        <v>22703.066999999999</v>
      </c>
      <c r="AS107" s="89">
        <v>21998.949000000001</v>
      </c>
      <c r="AT107" s="89">
        <v>21867.583999999999</v>
      </c>
      <c r="AU107" s="89">
        <v>20932.262999999999</v>
      </c>
      <c r="AV107" s="89">
        <v>20476.163</v>
      </c>
      <c r="AW107" s="89">
        <v>19684.819</v>
      </c>
      <c r="AX107" s="89">
        <v>19067.928</v>
      </c>
      <c r="AY107" s="89">
        <v>18486.768</v>
      </c>
      <c r="AZ107" s="89">
        <v>17511.511999999999</v>
      </c>
      <c r="BA107" s="90">
        <v>16564.632000000001</v>
      </c>
      <c r="BB107" s="90">
        <v>15751.218000000001</v>
      </c>
      <c r="BC107" s="91"/>
    </row>
    <row r="108" spans="1:62">
      <c r="A108" s="88">
        <v>4468</v>
      </c>
      <c r="B108" s="88"/>
      <c r="C108" s="88" t="s">
        <v>307</v>
      </c>
      <c r="D108" s="89">
        <v>2669.877</v>
      </c>
      <c r="E108" s="89">
        <v>2933.4050000000002</v>
      </c>
      <c r="F108" s="89">
        <v>3143.0070000000001</v>
      </c>
      <c r="G108" s="89">
        <v>3416.71</v>
      </c>
      <c r="H108" s="89">
        <v>3758.5839999999998</v>
      </c>
      <c r="I108" s="89">
        <v>3974.2910000000002</v>
      </c>
      <c r="J108" s="89">
        <v>4177.7870000000003</v>
      </c>
      <c r="K108" s="89">
        <v>4431.1409999999996</v>
      </c>
      <c r="L108" s="89">
        <v>4732.3159999999998</v>
      </c>
      <c r="M108" s="89">
        <v>4953.1099999999997</v>
      </c>
      <c r="N108" s="89">
        <v>5123.03</v>
      </c>
      <c r="O108" s="89">
        <v>5276.67</v>
      </c>
      <c r="P108" s="89">
        <v>5345.8580000000002</v>
      </c>
      <c r="Q108" s="89">
        <v>5756.9219999999996</v>
      </c>
      <c r="R108" s="89">
        <v>5614.4740000000002</v>
      </c>
      <c r="S108" s="89">
        <v>5508.6559999999999</v>
      </c>
      <c r="T108" s="89">
        <v>5691.8029999999999</v>
      </c>
      <c r="U108" s="89">
        <v>5810.848</v>
      </c>
      <c r="V108" s="89">
        <v>5977.7160000000003</v>
      </c>
      <c r="W108" s="89">
        <v>6162.8980000000001</v>
      </c>
      <c r="X108" s="89">
        <v>5956.3490000000002</v>
      </c>
      <c r="Y108" s="89">
        <v>5646.0159999999996</v>
      </c>
      <c r="Z108" s="89">
        <v>5831.1980000000003</v>
      </c>
      <c r="AA108" s="89">
        <v>6291.1009999999997</v>
      </c>
      <c r="AB108" s="89">
        <v>6873.1009999999997</v>
      </c>
      <c r="AC108" s="89">
        <v>7230.2380000000003</v>
      </c>
      <c r="AD108" s="89">
        <v>8003.5249999999996</v>
      </c>
      <c r="AE108" s="89">
        <v>8617.0679999999993</v>
      </c>
      <c r="AF108" s="89">
        <v>9533.8209999999999</v>
      </c>
      <c r="AG108" s="89">
        <v>10294.897999999999</v>
      </c>
      <c r="AH108" s="89">
        <v>10838.234</v>
      </c>
      <c r="AI108" s="89">
        <v>10880.968999999999</v>
      </c>
      <c r="AJ108" s="89">
        <v>11326.627</v>
      </c>
      <c r="AK108" s="89">
        <v>12012.41</v>
      </c>
      <c r="AL108" s="89">
        <v>13140.8</v>
      </c>
      <c r="AM108" s="89">
        <v>13692.276</v>
      </c>
      <c r="AN108" s="89">
        <v>14616.151</v>
      </c>
      <c r="AO108" s="89">
        <v>15237.833000000001</v>
      </c>
      <c r="AP108" s="89">
        <v>15407.753000000001</v>
      </c>
      <c r="AQ108" s="89">
        <v>15779.134</v>
      </c>
      <c r="AR108" s="89">
        <v>16158.656000000001</v>
      </c>
      <c r="AS108" s="89">
        <v>16705.044000000002</v>
      </c>
      <c r="AT108" s="89">
        <v>17221.925999999999</v>
      </c>
      <c r="AU108" s="89">
        <v>18021.668000000001</v>
      </c>
      <c r="AV108" s="89">
        <v>18837.689999999999</v>
      </c>
      <c r="AW108" s="89">
        <v>19775.810000000001</v>
      </c>
      <c r="AX108" s="89">
        <v>20498.223000000002</v>
      </c>
      <c r="AY108" s="89">
        <v>21407.852999999999</v>
      </c>
      <c r="AZ108" s="89">
        <v>20932.687999999998</v>
      </c>
      <c r="BA108" s="90">
        <v>20407.667000000001</v>
      </c>
      <c r="BB108" s="90">
        <v>21237.934000000001</v>
      </c>
      <c r="BC108" s="91"/>
    </row>
    <row r="109" spans="1:62">
      <c r="C109" s="92" t="s">
        <v>308</v>
      </c>
      <c r="D109" s="90">
        <f t="shared" ref="D109:AI109" si="29">SUM(D107:D108)</f>
        <v>10811.369000000001</v>
      </c>
      <c r="E109" s="90">
        <f t="shared" si="29"/>
        <v>11627.682000000001</v>
      </c>
      <c r="F109" s="90">
        <f t="shared" si="29"/>
        <v>12289.181</v>
      </c>
      <c r="G109" s="90">
        <f t="shared" si="29"/>
        <v>13073.632000000001</v>
      </c>
      <c r="H109" s="90">
        <f t="shared" si="29"/>
        <v>14448.561999999998</v>
      </c>
      <c r="I109" s="90">
        <f t="shared" si="29"/>
        <v>15440.900000000001</v>
      </c>
      <c r="J109" s="90">
        <f t="shared" si="29"/>
        <v>16267.593000000001</v>
      </c>
      <c r="K109" s="90">
        <f t="shared" si="29"/>
        <v>17334.360999999997</v>
      </c>
      <c r="L109" s="90">
        <f t="shared" si="29"/>
        <v>18407.963</v>
      </c>
      <c r="M109" s="90">
        <f t="shared" si="29"/>
        <v>19081.704999999998</v>
      </c>
      <c r="N109" s="90">
        <f t="shared" si="29"/>
        <v>20082.903999999999</v>
      </c>
      <c r="O109" s="90">
        <f t="shared" si="29"/>
        <v>21002.665999999997</v>
      </c>
      <c r="P109" s="90">
        <f t="shared" si="29"/>
        <v>22054.466</v>
      </c>
      <c r="Q109" s="90">
        <f t="shared" si="29"/>
        <v>23545.877999999997</v>
      </c>
      <c r="R109" s="90">
        <f t="shared" si="29"/>
        <v>22937.870999999999</v>
      </c>
      <c r="S109" s="90">
        <f t="shared" si="29"/>
        <v>22454.772000000001</v>
      </c>
      <c r="T109" s="90">
        <f t="shared" si="29"/>
        <v>23430.314999999999</v>
      </c>
      <c r="U109" s="90">
        <f t="shared" si="29"/>
        <v>24029.631000000001</v>
      </c>
      <c r="V109" s="90">
        <f t="shared" si="29"/>
        <v>25260.031999999999</v>
      </c>
      <c r="W109" s="90">
        <f t="shared" si="29"/>
        <v>25799.375</v>
      </c>
      <c r="X109" s="90">
        <f t="shared" si="29"/>
        <v>26076.25</v>
      </c>
      <c r="Y109" s="90">
        <f t="shared" si="29"/>
        <v>25317.172999999999</v>
      </c>
      <c r="Z109" s="90">
        <f t="shared" si="29"/>
        <v>26058.293000000001</v>
      </c>
      <c r="AA109" s="90">
        <f t="shared" si="29"/>
        <v>26853.439999999999</v>
      </c>
      <c r="AB109" s="90">
        <f t="shared" si="29"/>
        <v>28129.047999999999</v>
      </c>
      <c r="AC109" s="90">
        <f t="shared" si="29"/>
        <v>28672.198</v>
      </c>
      <c r="AD109" s="90">
        <f t="shared" si="29"/>
        <v>30566.819000000003</v>
      </c>
      <c r="AE109" s="90">
        <f t="shared" si="29"/>
        <v>31930.719999999998</v>
      </c>
      <c r="AF109" s="90">
        <f t="shared" si="29"/>
        <v>33966.705000000002</v>
      </c>
      <c r="AG109" s="90">
        <f t="shared" si="29"/>
        <v>35437.154999999999</v>
      </c>
      <c r="AH109" s="90">
        <f t="shared" si="29"/>
        <v>36388.248</v>
      </c>
      <c r="AI109" s="90">
        <f t="shared" si="29"/>
        <v>36125.165000000001</v>
      </c>
      <c r="AJ109" s="90">
        <f t="shared" ref="AJ109:BB109" si="30">SUM(AJ107:AJ108)</f>
        <v>36594.993999999999</v>
      </c>
      <c r="AK109" s="90">
        <f t="shared" si="30"/>
        <v>36988.620999999999</v>
      </c>
      <c r="AL109" s="90">
        <f t="shared" si="30"/>
        <v>37147.009999999995</v>
      </c>
      <c r="AM109" s="90">
        <f t="shared" si="30"/>
        <v>36763.165000000001</v>
      </c>
      <c r="AN109" s="90">
        <f t="shared" si="30"/>
        <v>38166.260999999999</v>
      </c>
      <c r="AO109" s="90">
        <f t="shared" si="30"/>
        <v>38622.948000000004</v>
      </c>
      <c r="AP109" s="90">
        <f t="shared" si="30"/>
        <v>38368.296000000002</v>
      </c>
      <c r="AQ109" s="90">
        <f t="shared" si="30"/>
        <v>39526.817000000003</v>
      </c>
      <c r="AR109" s="90">
        <f t="shared" si="30"/>
        <v>38861.722999999998</v>
      </c>
      <c r="AS109" s="90">
        <f t="shared" si="30"/>
        <v>38703.993000000002</v>
      </c>
      <c r="AT109" s="90">
        <f t="shared" si="30"/>
        <v>39089.509999999995</v>
      </c>
      <c r="AU109" s="90">
        <f t="shared" si="30"/>
        <v>38953.930999999997</v>
      </c>
      <c r="AV109" s="90">
        <f t="shared" si="30"/>
        <v>39313.853000000003</v>
      </c>
      <c r="AW109" s="90">
        <f t="shared" si="30"/>
        <v>39460.629000000001</v>
      </c>
      <c r="AX109" s="90">
        <f t="shared" si="30"/>
        <v>39566.150999999998</v>
      </c>
      <c r="AY109" s="90">
        <f t="shared" si="30"/>
        <v>39894.620999999999</v>
      </c>
      <c r="AZ109" s="90">
        <f t="shared" si="30"/>
        <v>38444.199999999997</v>
      </c>
      <c r="BA109" s="90">
        <f t="shared" si="30"/>
        <v>36972.298999999999</v>
      </c>
      <c r="BB109" s="90">
        <f t="shared" si="30"/>
        <v>36989.152000000002</v>
      </c>
      <c r="BC109" s="91"/>
    </row>
    <row r="111" spans="1:62">
      <c r="A111" s="38" t="s">
        <v>304</v>
      </c>
    </row>
    <row r="112" spans="1:62">
      <c r="A112" s="38" t="s">
        <v>309</v>
      </c>
      <c r="D112" s="38">
        <v>1960</v>
      </c>
      <c r="E112" s="38">
        <v>1961</v>
      </c>
      <c r="F112" s="38">
        <v>1962</v>
      </c>
      <c r="G112" s="38">
        <v>1963</v>
      </c>
      <c r="H112" s="38">
        <v>1964</v>
      </c>
      <c r="I112" s="38">
        <v>1965</v>
      </c>
      <c r="J112" s="38">
        <v>1966</v>
      </c>
      <c r="K112" s="38">
        <v>1967</v>
      </c>
      <c r="L112" s="38">
        <v>1968</v>
      </c>
      <c r="M112" s="38">
        <v>1969</v>
      </c>
      <c r="N112" s="38">
        <v>1970</v>
      </c>
      <c r="O112" s="38">
        <v>1971</v>
      </c>
      <c r="P112" s="38">
        <v>1972</v>
      </c>
      <c r="Q112" s="38">
        <v>1973</v>
      </c>
      <c r="R112" s="38">
        <v>1974</v>
      </c>
      <c r="S112" s="38">
        <v>1975</v>
      </c>
      <c r="T112" s="38">
        <v>1976</v>
      </c>
      <c r="U112" s="38">
        <v>1977</v>
      </c>
      <c r="V112" s="38">
        <v>1978</v>
      </c>
      <c r="W112" s="38">
        <v>1979</v>
      </c>
      <c r="X112" s="38">
        <v>1980</v>
      </c>
      <c r="Y112" s="38">
        <v>1981</v>
      </c>
      <c r="Z112" s="38">
        <v>1982</v>
      </c>
      <c r="AA112" s="38">
        <v>1983</v>
      </c>
      <c r="AB112" s="38">
        <v>1984</v>
      </c>
      <c r="AC112" s="38">
        <v>1985</v>
      </c>
      <c r="AD112" s="38">
        <v>1986</v>
      </c>
      <c r="AE112" s="38">
        <v>1987</v>
      </c>
      <c r="AF112" s="38">
        <v>1988</v>
      </c>
      <c r="AG112" s="38">
        <v>1989</v>
      </c>
      <c r="AH112" s="38">
        <v>1990</v>
      </c>
      <c r="AI112" s="38">
        <v>1991</v>
      </c>
      <c r="AJ112" s="38">
        <v>1992</v>
      </c>
      <c r="AK112" s="38">
        <v>1993</v>
      </c>
      <c r="AL112" s="38">
        <v>1994</v>
      </c>
      <c r="AM112" s="38">
        <v>1995</v>
      </c>
      <c r="AN112" s="38">
        <v>1996</v>
      </c>
      <c r="AO112" s="38">
        <v>1997</v>
      </c>
      <c r="AP112" s="38">
        <v>1998</v>
      </c>
      <c r="AQ112" s="38">
        <v>1999</v>
      </c>
      <c r="AR112" s="38">
        <v>2000</v>
      </c>
      <c r="AS112" s="38">
        <v>2001</v>
      </c>
      <c r="AT112" s="38">
        <v>2002</v>
      </c>
      <c r="AU112" s="38">
        <v>2003</v>
      </c>
      <c r="AV112" s="38">
        <v>2004</v>
      </c>
      <c r="AW112" s="38">
        <v>2005</v>
      </c>
      <c r="AX112" s="38">
        <v>2006</v>
      </c>
      <c r="AY112" s="38">
        <v>2007</v>
      </c>
      <c r="AZ112" s="38">
        <v>2008</v>
      </c>
      <c r="BA112" s="38">
        <v>2009</v>
      </c>
      <c r="BB112" s="38">
        <v>2010</v>
      </c>
      <c r="BC112" s="38">
        <v>2011</v>
      </c>
      <c r="BD112" s="38">
        <v>2012</v>
      </c>
      <c r="BE112" s="38">
        <v>2013</v>
      </c>
      <c r="BF112" s="38">
        <v>2014</v>
      </c>
      <c r="BG112" s="38">
        <v>2015</v>
      </c>
      <c r="BH112" s="38">
        <v>2016</v>
      </c>
      <c r="BI112" s="38">
        <v>2017</v>
      </c>
      <c r="BJ112" s="38">
        <v>2018</v>
      </c>
    </row>
    <row r="113" spans="1:63">
      <c r="A113" s="88">
        <v>4463</v>
      </c>
      <c r="B113" s="88"/>
      <c r="C113" s="88" t="s">
        <v>310</v>
      </c>
      <c r="D113" s="93">
        <f>D107/1000</f>
        <v>8.1414919999999995</v>
      </c>
      <c r="E113" s="93">
        <f t="shared" ref="E113:BB114" si="31">E107/1000</f>
        <v>8.6942769999999996</v>
      </c>
      <c r="F113" s="93">
        <f t="shared" si="31"/>
        <v>9.1461740000000002</v>
      </c>
      <c r="G113" s="93">
        <f t="shared" si="31"/>
        <v>9.6569219999999998</v>
      </c>
      <c r="H113" s="93">
        <f t="shared" si="31"/>
        <v>10.689978</v>
      </c>
      <c r="I113" s="93">
        <f t="shared" si="31"/>
        <v>11.466609</v>
      </c>
      <c r="J113" s="93">
        <f t="shared" si="31"/>
        <v>12.089806000000001</v>
      </c>
      <c r="K113" s="93">
        <f t="shared" si="31"/>
        <v>12.903219999999999</v>
      </c>
      <c r="L113" s="93">
        <f t="shared" si="31"/>
        <v>13.675647000000001</v>
      </c>
      <c r="M113" s="93">
        <f t="shared" si="31"/>
        <v>14.128594999999999</v>
      </c>
      <c r="N113" s="93">
        <f t="shared" si="31"/>
        <v>14.959873999999999</v>
      </c>
      <c r="O113" s="93">
        <f t="shared" si="31"/>
        <v>15.725995999999999</v>
      </c>
      <c r="P113" s="93">
        <f t="shared" si="31"/>
        <v>16.708608000000002</v>
      </c>
      <c r="Q113" s="93">
        <f t="shared" si="31"/>
        <v>17.788955999999999</v>
      </c>
      <c r="R113" s="93">
        <f t="shared" si="31"/>
        <v>17.323397</v>
      </c>
      <c r="S113" s="93">
        <f t="shared" si="31"/>
        <v>16.946116000000004</v>
      </c>
      <c r="T113" s="93">
        <f t="shared" si="31"/>
        <v>17.738512</v>
      </c>
      <c r="U113" s="93">
        <f t="shared" si="31"/>
        <v>18.218782999999998</v>
      </c>
      <c r="V113" s="93">
        <f t="shared" si="31"/>
        <v>19.282315999999998</v>
      </c>
      <c r="W113" s="93">
        <f t="shared" si="31"/>
        <v>19.636476999999999</v>
      </c>
      <c r="X113" s="93">
        <f t="shared" si="31"/>
        <v>20.119901000000002</v>
      </c>
      <c r="Y113" s="93">
        <f t="shared" si="31"/>
        <v>19.671157000000001</v>
      </c>
      <c r="Z113" s="93">
        <f t="shared" si="31"/>
        <v>20.227095000000002</v>
      </c>
      <c r="AA113" s="93">
        <f t="shared" si="31"/>
        <v>20.562339000000001</v>
      </c>
      <c r="AB113" s="93">
        <f t="shared" si="31"/>
        <v>21.255946999999999</v>
      </c>
      <c r="AC113" s="93">
        <f t="shared" si="31"/>
        <v>21.441959999999998</v>
      </c>
      <c r="AD113" s="93">
        <f t="shared" si="31"/>
        <v>22.563294000000003</v>
      </c>
      <c r="AE113" s="93">
        <f t="shared" si="31"/>
        <v>23.313651999999998</v>
      </c>
      <c r="AF113" s="93">
        <f t="shared" si="31"/>
        <v>24.432883999999998</v>
      </c>
      <c r="AG113" s="93">
        <f t="shared" si="31"/>
        <v>25.142257000000001</v>
      </c>
      <c r="AH113" s="93">
        <f t="shared" si="31"/>
        <v>25.550014000000001</v>
      </c>
      <c r="AI113" s="93">
        <f t="shared" si="31"/>
        <v>25.244195999999999</v>
      </c>
      <c r="AJ113" s="93">
        <f t="shared" si="31"/>
        <v>25.268366999999998</v>
      </c>
      <c r="AK113" s="93">
        <f t="shared" si="31"/>
        <v>24.976210999999999</v>
      </c>
      <c r="AL113" s="93">
        <f t="shared" si="31"/>
        <v>24.006209999999999</v>
      </c>
      <c r="AM113" s="93">
        <f t="shared" si="31"/>
        <v>23.070888999999998</v>
      </c>
      <c r="AN113" s="93">
        <f t="shared" si="31"/>
        <v>23.55011</v>
      </c>
      <c r="AO113" s="93">
        <f t="shared" si="31"/>
        <v>23.385115000000003</v>
      </c>
      <c r="AP113" s="93">
        <f t="shared" si="31"/>
        <v>22.960543000000001</v>
      </c>
      <c r="AQ113" s="93">
        <f t="shared" si="31"/>
        <v>23.747683000000002</v>
      </c>
      <c r="AR113" s="93">
        <f t="shared" si="31"/>
        <v>22.703067000000001</v>
      </c>
      <c r="AS113" s="93">
        <f t="shared" si="31"/>
        <v>21.998949</v>
      </c>
      <c r="AT113" s="93">
        <f t="shared" si="31"/>
        <v>21.867583999999997</v>
      </c>
      <c r="AU113" s="93">
        <f t="shared" si="31"/>
        <v>20.932262999999999</v>
      </c>
      <c r="AV113" s="93">
        <f t="shared" si="31"/>
        <v>20.476163</v>
      </c>
      <c r="AW113" s="93">
        <f t="shared" si="31"/>
        <v>19.684819000000001</v>
      </c>
      <c r="AX113" s="93">
        <f t="shared" si="31"/>
        <v>19.067927999999998</v>
      </c>
      <c r="AY113" s="93">
        <f t="shared" si="31"/>
        <v>18.486768000000001</v>
      </c>
      <c r="AZ113" s="93">
        <f t="shared" si="31"/>
        <v>17.511512</v>
      </c>
      <c r="BA113" s="93">
        <f t="shared" si="31"/>
        <v>16.564632000000003</v>
      </c>
      <c r="BB113" s="93">
        <f t="shared" si="31"/>
        <v>15.751218000000001</v>
      </c>
      <c r="BC113" s="94"/>
    </row>
    <row r="114" spans="1:63">
      <c r="A114" s="88">
        <v>4468</v>
      </c>
      <c r="B114" s="88"/>
      <c r="C114" s="88" t="s">
        <v>311</v>
      </c>
      <c r="D114" s="93">
        <f>D108/1000</f>
        <v>2.6698770000000001</v>
      </c>
      <c r="E114" s="93">
        <f t="shared" si="31"/>
        <v>2.933405</v>
      </c>
      <c r="F114" s="93">
        <f t="shared" si="31"/>
        <v>3.1430069999999999</v>
      </c>
      <c r="G114" s="93">
        <f t="shared" si="31"/>
        <v>3.4167100000000001</v>
      </c>
      <c r="H114" s="93">
        <f t="shared" si="31"/>
        <v>3.7585839999999999</v>
      </c>
      <c r="I114" s="93">
        <f t="shared" si="31"/>
        <v>3.974291</v>
      </c>
      <c r="J114" s="93">
        <f t="shared" si="31"/>
        <v>4.1777870000000004</v>
      </c>
      <c r="K114" s="93">
        <f t="shared" si="31"/>
        <v>4.4311409999999993</v>
      </c>
      <c r="L114" s="93">
        <f t="shared" si="31"/>
        <v>4.732316</v>
      </c>
      <c r="M114" s="93">
        <f t="shared" si="31"/>
        <v>4.9531099999999997</v>
      </c>
      <c r="N114" s="93">
        <f t="shared" si="31"/>
        <v>5.12303</v>
      </c>
      <c r="O114" s="93">
        <f t="shared" si="31"/>
        <v>5.2766700000000002</v>
      </c>
      <c r="P114" s="93">
        <f t="shared" si="31"/>
        <v>5.3458579999999998</v>
      </c>
      <c r="Q114" s="93">
        <f t="shared" si="31"/>
        <v>5.7569219999999994</v>
      </c>
      <c r="R114" s="93">
        <f t="shared" si="31"/>
        <v>5.6144740000000004</v>
      </c>
      <c r="S114" s="93">
        <f t="shared" si="31"/>
        <v>5.5086560000000002</v>
      </c>
      <c r="T114" s="93">
        <f t="shared" si="31"/>
        <v>5.6918030000000002</v>
      </c>
      <c r="U114" s="93">
        <f t="shared" si="31"/>
        <v>5.810848</v>
      </c>
      <c r="V114" s="93">
        <f t="shared" si="31"/>
        <v>5.977716</v>
      </c>
      <c r="W114" s="93">
        <f t="shared" si="31"/>
        <v>6.1628980000000002</v>
      </c>
      <c r="X114" s="93">
        <f t="shared" si="31"/>
        <v>5.9563490000000003</v>
      </c>
      <c r="Y114" s="93">
        <f t="shared" si="31"/>
        <v>5.6460159999999995</v>
      </c>
      <c r="Z114" s="93">
        <f t="shared" si="31"/>
        <v>5.8311980000000005</v>
      </c>
      <c r="AA114" s="93">
        <f t="shared" si="31"/>
        <v>6.2911009999999994</v>
      </c>
      <c r="AB114" s="93">
        <f t="shared" si="31"/>
        <v>6.8731009999999992</v>
      </c>
      <c r="AC114" s="93">
        <f t="shared" si="31"/>
        <v>7.2302379999999999</v>
      </c>
      <c r="AD114" s="93">
        <f t="shared" si="31"/>
        <v>8.0035249999999998</v>
      </c>
      <c r="AE114" s="93">
        <f t="shared" si="31"/>
        <v>8.6170679999999997</v>
      </c>
      <c r="AF114" s="93">
        <f t="shared" si="31"/>
        <v>9.5338209999999997</v>
      </c>
      <c r="AG114" s="93">
        <f t="shared" si="31"/>
        <v>10.294898</v>
      </c>
      <c r="AH114" s="93">
        <f t="shared" si="31"/>
        <v>10.838234</v>
      </c>
      <c r="AI114" s="93">
        <f t="shared" si="31"/>
        <v>10.880968999999999</v>
      </c>
      <c r="AJ114" s="93">
        <f t="shared" si="31"/>
        <v>11.326627</v>
      </c>
      <c r="AK114" s="93">
        <f t="shared" si="31"/>
        <v>12.012409999999999</v>
      </c>
      <c r="AL114" s="93">
        <f t="shared" si="31"/>
        <v>13.140799999999999</v>
      </c>
      <c r="AM114" s="93">
        <f t="shared" si="31"/>
        <v>13.692276</v>
      </c>
      <c r="AN114" s="93">
        <f t="shared" si="31"/>
        <v>14.616151</v>
      </c>
      <c r="AO114" s="93">
        <f t="shared" si="31"/>
        <v>15.237833</v>
      </c>
      <c r="AP114" s="93">
        <f t="shared" si="31"/>
        <v>15.407753000000001</v>
      </c>
      <c r="AQ114" s="93">
        <f t="shared" si="31"/>
        <v>15.779134000000001</v>
      </c>
      <c r="AR114" s="93">
        <f t="shared" si="31"/>
        <v>16.158656000000001</v>
      </c>
      <c r="AS114" s="93">
        <f t="shared" si="31"/>
        <v>16.705044000000001</v>
      </c>
      <c r="AT114" s="93">
        <f t="shared" si="31"/>
        <v>17.221926</v>
      </c>
      <c r="AU114" s="93">
        <f t="shared" si="31"/>
        <v>18.021668000000002</v>
      </c>
      <c r="AV114" s="93">
        <f t="shared" si="31"/>
        <v>18.837689999999998</v>
      </c>
      <c r="AW114" s="93">
        <f t="shared" si="31"/>
        <v>19.77581</v>
      </c>
      <c r="AX114" s="93">
        <f t="shared" si="31"/>
        <v>20.498223000000003</v>
      </c>
      <c r="AY114" s="93">
        <f t="shared" si="31"/>
        <v>21.407852999999999</v>
      </c>
      <c r="AZ114" s="93">
        <f t="shared" si="31"/>
        <v>20.932687999999999</v>
      </c>
      <c r="BA114" s="93">
        <f t="shared" si="31"/>
        <v>20.407667</v>
      </c>
      <c r="BB114" s="93">
        <f t="shared" si="31"/>
        <v>21.237934000000003</v>
      </c>
      <c r="BC114" s="94"/>
    </row>
    <row r="115" spans="1:63">
      <c r="C115" s="92" t="s">
        <v>312</v>
      </c>
      <c r="D115" s="95">
        <f>SUM(D113:D114)</f>
        <v>10.811368999999999</v>
      </c>
      <c r="E115" s="95">
        <f t="shared" ref="E115:BB115" si="32">SUM(E113:E114)</f>
        <v>11.627682</v>
      </c>
      <c r="F115" s="95">
        <f t="shared" si="32"/>
        <v>12.289180999999999</v>
      </c>
      <c r="G115" s="95">
        <f t="shared" si="32"/>
        <v>13.073632</v>
      </c>
      <c r="H115" s="95">
        <f t="shared" si="32"/>
        <v>14.448561999999999</v>
      </c>
      <c r="I115" s="95">
        <f t="shared" si="32"/>
        <v>15.440899999999999</v>
      </c>
      <c r="J115" s="95">
        <f t="shared" si="32"/>
        <v>16.267593000000002</v>
      </c>
      <c r="K115" s="95">
        <f t="shared" si="32"/>
        <v>17.334360999999998</v>
      </c>
      <c r="L115" s="95">
        <f t="shared" si="32"/>
        <v>18.407963000000002</v>
      </c>
      <c r="M115" s="95">
        <f t="shared" si="32"/>
        <v>19.081704999999999</v>
      </c>
      <c r="N115" s="95">
        <f t="shared" si="32"/>
        <v>20.082903999999999</v>
      </c>
      <c r="O115" s="95">
        <f t="shared" si="32"/>
        <v>21.002665999999998</v>
      </c>
      <c r="P115" s="95">
        <f t="shared" si="32"/>
        <v>22.054466000000001</v>
      </c>
      <c r="Q115" s="95">
        <f t="shared" si="32"/>
        <v>23.545877999999998</v>
      </c>
      <c r="R115" s="95">
        <f t="shared" si="32"/>
        <v>22.937871000000001</v>
      </c>
      <c r="S115" s="95">
        <f t="shared" si="32"/>
        <v>22.454772000000006</v>
      </c>
      <c r="T115" s="95">
        <f t="shared" si="32"/>
        <v>23.430315</v>
      </c>
      <c r="U115" s="95">
        <f t="shared" si="32"/>
        <v>24.029630999999998</v>
      </c>
      <c r="V115" s="95">
        <f t="shared" si="32"/>
        <v>25.260031999999999</v>
      </c>
      <c r="W115" s="95">
        <f t="shared" si="32"/>
        <v>25.799374999999998</v>
      </c>
      <c r="X115" s="95">
        <f t="shared" si="32"/>
        <v>26.076250000000002</v>
      </c>
      <c r="Y115" s="95">
        <f t="shared" si="32"/>
        <v>25.317173</v>
      </c>
      <c r="Z115" s="95">
        <f t="shared" si="32"/>
        <v>26.058293000000003</v>
      </c>
      <c r="AA115" s="95">
        <f t="shared" si="32"/>
        <v>26.853439999999999</v>
      </c>
      <c r="AB115" s="95">
        <f t="shared" si="32"/>
        <v>28.129047999999997</v>
      </c>
      <c r="AC115" s="95">
        <f t="shared" si="32"/>
        <v>28.672197999999998</v>
      </c>
      <c r="AD115" s="95">
        <f t="shared" si="32"/>
        <v>30.566819000000002</v>
      </c>
      <c r="AE115" s="95">
        <f t="shared" si="32"/>
        <v>31.930719999999997</v>
      </c>
      <c r="AF115" s="95">
        <f t="shared" si="32"/>
        <v>33.966704999999997</v>
      </c>
      <c r="AG115" s="95">
        <f t="shared" si="32"/>
        <v>35.437155000000004</v>
      </c>
      <c r="AH115" s="95">
        <f t="shared" si="32"/>
        <v>36.388248000000004</v>
      </c>
      <c r="AI115" s="95">
        <f t="shared" si="32"/>
        <v>36.125164999999996</v>
      </c>
      <c r="AJ115" s="95">
        <f t="shared" si="32"/>
        <v>36.594994</v>
      </c>
      <c r="AK115" s="95">
        <f t="shared" si="32"/>
        <v>36.988620999999995</v>
      </c>
      <c r="AL115" s="95">
        <f t="shared" si="32"/>
        <v>37.147009999999995</v>
      </c>
      <c r="AM115" s="95">
        <f t="shared" si="32"/>
        <v>36.763165000000001</v>
      </c>
      <c r="AN115" s="95">
        <f t="shared" si="32"/>
        <v>38.166260999999999</v>
      </c>
      <c r="AO115" s="95">
        <f t="shared" si="32"/>
        <v>38.622948000000001</v>
      </c>
      <c r="AP115" s="95">
        <f t="shared" si="32"/>
        <v>38.368296000000001</v>
      </c>
      <c r="AQ115" s="95">
        <f t="shared" si="32"/>
        <v>39.526817000000001</v>
      </c>
      <c r="AR115" s="95">
        <f t="shared" si="32"/>
        <v>38.861722999999998</v>
      </c>
      <c r="AS115" s="95">
        <f t="shared" si="32"/>
        <v>38.703992999999997</v>
      </c>
      <c r="AT115" s="95">
        <f t="shared" si="32"/>
        <v>39.089509999999997</v>
      </c>
      <c r="AU115" s="95">
        <f t="shared" si="32"/>
        <v>38.953930999999997</v>
      </c>
      <c r="AV115" s="95">
        <f t="shared" si="32"/>
        <v>39.313852999999995</v>
      </c>
      <c r="AW115" s="95">
        <f t="shared" si="32"/>
        <v>39.460628999999997</v>
      </c>
      <c r="AX115" s="95">
        <f t="shared" si="32"/>
        <v>39.566151000000005</v>
      </c>
      <c r="AY115" s="95">
        <f t="shared" si="32"/>
        <v>39.894621000000001</v>
      </c>
      <c r="AZ115" s="95">
        <f t="shared" si="32"/>
        <v>38.444199999999995</v>
      </c>
      <c r="BA115" s="95">
        <f t="shared" si="32"/>
        <v>36.972299000000007</v>
      </c>
      <c r="BB115" s="95">
        <f t="shared" si="32"/>
        <v>36.989152000000004</v>
      </c>
      <c r="BC115" s="96"/>
    </row>
    <row r="118" spans="1:63">
      <c r="A118" s="46" t="s">
        <v>313</v>
      </c>
    </row>
    <row r="119" spans="1:63" s="51" customFormat="1">
      <c r="A119" s="38" t="s">
        <v>314</v>
      </c>
      <c r="D119" s="51">
        <v>1960</v>
      </c>
      <c r="E119" s="51">
        <v>1961</v>
      </c>
      <c r="F119" s="51">
        <v>1962</v>
      </c>
      <c r="G119" s="51">
        <v>1963</v>
      </c>
      <c r="H119" s="51">
        <v>1964</v>
      </c>
      <c r="I119" s="51">
        <v>1965</v>
      </c>
      <c r="J119" s="51">
        <v>1966</v>
      </c>
      <c r="K119" s="51">
        <v>1967</v>
      </c>
      <c r="L119" s="51">
        <v>1968</v>
      </c>
      <c r="M119" s="51">
        <v>1969</v>
      </c>
      <c r="N119" s="51">
        <v>1970</v>
      </c>
      <c r="O119" s="51">
        <v>1971</v>
      </c>
      <c r="P119" s="51">
        <v>1972</v>
      </c>
      <c r="Q119" s="51">
        <v>1973</v>
      </c>
      <c r="R119" s="51">
        <v>1974</v>
      </c>
      <c r="S119" s="51">
        <v>1975</v>
      </c>
      <c r="T119" s="51">
        <v>1976</v>
      </c>
      <c r="U119" s="51">
        <v>1977</v>
      </c>
      <c r="V119" s="51">
        <v>1978</v>
      </c>
      <c r="W119" s="51">
        <v>1979</v>
      </c>
      <c r="X119" s="51">
        <v>1980</v>
      </c>
      <c r="Y119" s="51">
        <v>1981</v>
      </c>
      <c r="Z119" s="51">
        <v>1982</v>
      </c>
      <c r="AA119" s="51">
        <v>1983</v>
      </c>
      <c r="AB119" s="51">
        <v>1984</v>
      </c>
      <c r="AC119" s="51">
        <v>1985</v>
      </c>
      <c r="AD119" s="51">
        <v>1986</v>
      </c>
      <c r="AE119" s="51">
        <v>1987</v>
      </c>
      <c r="AF119" s="51">
        <v>1988</v>
      </c>
      <c r="AG119" s="51">
        <v>1989</v>
      </c>
      <c r="AH119" s="51">
        <v>1990</v>
      </c>
      <c r="AI119" s="51">
        <v>1991</v>
      </c>
      <c r="AJ119" s="51">
        <v>1992</v>
      </c>
      <c r="AK119" s="51">
        <v>1993</v>
      </c>
      <c r="AL119" s="51">
        <v>1994</v>
      </c>
      <c r="AM119" s="51">
        <v>1995</v>
      </c>
      <c r="AN119" s="51">
        <v>1996</v>
      </c>
      <c r="AO119" s="51">
        <v>1997</v>
      </c>
      <c r="AP119" s="51">
        <v>1998</v>
      </c>
      <c r="AQ119" s="51">
        <v>1999</v>
      </c>
      <c r="AR119" s="51">
        <v>2000</v>
      </c>
      <c r="AS119" s="51">
        <v>2001</v>
      </c>
      <c r="AT119" s="51">
        <v>2002</v>
      </c>
      <c r="AU119" s="51">
        <v>2003</v>
      </c>
      <c r="AV119" s="51">
        <v>2004</v>
      </c>
      <c r="AW119" s="51">
        <v>2005</v>
      </c>
      <c r="AX119" s="51">
        <v>2006</v>
      </c>
      <c r="AY119" s="51">
        <v>2007</v>
      </c>
      <c r="AZ119" s="51">
        <v>2008</v>
      </c>
      <c r="BA119" s="51">
        <v>2009</v>
      </c>
      <c r="BB119" s="51">
        <v>2010</v>
      </c>
      <c r="BC119" s="51">
        <v>2011</v>
      </c>
      <c r="BD119" s="51">
        <v>2012</v>
      </c>
      <c r="BE119" s="51">
        <v>2013</v>
      </c>
      <c r="BF119" s="51">
        <v>2014</v>
      </c>
      <c r="BG119" s="51">
        <v>2015</v>
      </c>
      <c r="BH119" s="51">
        <v>2016</v>
      </c>
      <c r="BI119" s="51">
        <v>2017</v>
      </c>
      <c r="BJ119" s="51">
        <v>2018</v>
      </c>
      <c r="BK119" s="65">
        <v>2019</v>
      </c>
    </row>
    <row r="120" spans="1:63">
      <c r="C120" s="97" t="s">
        <v>315</v>
      </c>
      <c r="D120" s="98">
        <v>42.3</v>
      </c>
      <c r="E120" s="98">
        <v>47.8</v>
      </c>
      <c r="F120" s="98">
        <v>52</v>
      </c>
      <c r="G120" s="98">
        <v>56.8</v>
      </c>
      <c r="H120" s="98">
        <v>65.7</v>
      </c>
      <c r="I120" s="98">
        <v>72</v>
      </c>
      <c r="J120" s="98">
        <v>78.599999999999994</v>
      </c>
      <c r="K120" s="98">
        <v>83.9</v>
      </c>
      <c r="L120" s="98">
        <v>88.7</v>
      </c>
      <c r="M120" s="98">
        <v>91.9</v>
      </c>
      <c r="N120" s="98">
        <v>96.3</v>
      </c>
      <c r="O120" s="98">
        <v>102.6</v>
      </c>
      <c r="P120" s="98">
        <v>108.6</v>
      </c>
      <c r="Q120" s="98">
        <v>114.3</v>
      </c>
      <c r="R120" s="98">
        <v>111.8</v>
      </c>
      <c r="S120" s="98">
        <v>112.8</v>
      </c>
      <c r="T120" s="98">
        <v>118.3</v>
      </c>
      <c r="U120" s="98">
        <v>120.6</v>
      </c>
      <c r="V120" s="98">
        <v>125.8</v>
      </c>
      <c r="W120" s="98">
        <v>125.2</v>
      </c>
      <c r="X120" s="98">
        <v>133.6</v>
      </c>
      <c r="Y120" s="98">
        <v>136.4</v>
      </c>
      <c r="Z120" s="98">
        <v>141.19999999999999</v>
      </c>
      <c r="AA120" s="98">
        <v>143.69999999999999</v>
      </c>
      <c r="AB120" s="98">
        <v>151.6</v>
      </c>
      <c r="AC120" s="98">
        <v>155.69999999999999</v>
      </c>
      <c r="AD120" s="98">
        <v>164.3</v>
      </c>
      <c r="AE120" s="98">
        <v>176.8</v>
      </c>
      <c r="AF120" s="98">
        <v>189.8</v>
      </c>
      <c r="AG120" s="98">
        <v>205.9</v>
      </c>
      <c r="AH120" s="98">
        <v>208.7</v>
      </c>
      <c r="AI120" s="98">
        <v>208.3</v>
      </c>
      <c r="AJ120" s="99">
        <v>210</v>
      </c>
      <c r="AK120" s="98">
        <v>210.1</v>
      </c>
      <c r="AL120" s="98">
        <v>214.4</v>
      </c>
      <c r="AM120" s="98">
        <v>218.2</v>
      </c>
      <c r="AN120" s="98">
        <v>223.6</v>
      </c>
      <c r="AO120" s="98">
        <v>227.3</v>
      </c>
      <c r="AP120" s="98">
        <v>230.3</v>
      </c>
      <c r="AQ120" s="98">
        <v>234.5</v>
      </c>
      <c r="AR120" s="98">
        <v>233.7</v>
      </c>
      <c r="AS120" s="98">
        <v>236.9</v>
      </c>
      <c r="AT120" s="98">
        <v>242.7</v>
      </c>
      <c r="AU120" s="98">
        <v>242.3</v>
      </c>
      <c r="AV120" s="98">
        <v>245</v>
      </c>
      <c r="AW120" s="98">
        <v>244</v>
      </c>
      <c r="AX120" s="98">
        <v>246.9</v>
      </c>
      <c r="AY120" s="98">
        <v>247.3</v>
      </c>
      <c r="AZ120" s="98">
        <v>245.4</v>
      </c>
      <c r="BA120" s="98">
        <v>244.8</v>
      </c>
      <c r="BB120" s="98">
        <v>241.9</v>
      </c>
      <c r="BC120" s="100">
        <v>244.3</v>
      </c>
      <c r="BD120" s="38">
        <v>245.5</v>
      </c>
      <c r="BE120" s="38">
        <v>246.6</v>
      </c>
      <c r="BF120" s="38">
        <v>253.5</v>
      </c>
      <c r="BG120" s="38">
        <v>258.10000000000002</v>
      </c>
      <c r="BH120" s="38">
        <v>263.89999999999998</v>
      </c>
      <c r="BI120" s="38">
        <v>269</v>
      </c>
      <c r="BJ120" s="38">
        <v>272.3</v>
      </c>
    </row>
    <row r="121" spans="1:63">
      <c r="C121" s="97" t="s">
        <v>316</v>
      </c>
      <c r="D121" s="98">
        <v>9.3000000000000007</v>
      </c>
      <c r="E121" s="98">
        <v>10.199999999999999</v>
      </c>
      <c r="F121" s="98">
        <v>10.3</v>
      </c>
      <c r="G121" s="98">
        <v>10.9</v>
      </c>
      <c r="H121" s="98">
        <v>11</v>
      </c>
      <c r="I121" s="98">
        <v>11.8</v>
      </c>
      <c r="J121" s="98">
        <v>11.8</v>
      </c>
      <c r="K121" s="98">
        <v>11.6</v>
      </c>
      <c r="L121" s="98">
        <v>11.7</v>
      </c>
      <c r="M121" s="98">
        <v>12</v>
      </c>
      <c r="N121" s="98">
        <v>12.6</v>
      </c>
      <c r="O121" s="98">
        <v>13.2</v>
      </c>
      <c r="P121" s="98">
        <v>13.8</v>
      </c>
      <c r="Q121" s="98">
        <v>14.5</v>
      </c>
      <c r="R121" s="98">
        <v>14.7</v>
      </c>
      <c r="S121" s="98">
        <v>14.6</v>
      </c>
      <c r="T121" s="98">
        <v>15</v>
      </c>
      <c r="U121" s="98">
        <v>15.2</v>
      </c>
      <c r="V121" s="98">
        <v>15.7</v>
      </c>
      <c r="W121" s="98">
        <v>15.6</v>
      </c>
      <c r="X121" s="98">
        <v>16.2</v>
      </c>
      <c r="Y121" s="98">
        <v>16.3</v>
      </c>
      <c r="Z121" s="98">
        <v>16.2</v>
      </c>
      <c r="AA121" s="98">
        <v>16.2</v>
      </c>
      <c r="AB121" s="98">
        <v>17.100000000000001</v>
      </c>
      <c r="AC121" s="98">
        <v>17.8</v>
      </c>
      <c r="AD121" s="98">
        <v>18.600000000000001</v>
      </c>
      <c r="AE121" s="98">
        <v>20.3</v>
      </c>
      <c r="AF121" s="98">
        <v>22.5</v>
      </c>
      <c r="AG121" s="98">
        <v>24.7</v>
      </c>
      <c r="AH121" s="98">
        <v>24.8</v>
      </c>
      <c r="AI121" s="98">
        <v>25.9</v>
      </c>
      <c r="AJ121" s="99">
        <v>25.6</v>
      </c>
      <c r="AK121" s="98">
        <v>25.8</v>
      </c>
      <c r="AL121" s="98">
        <v>26.9</v>
      </c>
      <c r="AM121" s="98">
        <v>27.7</v>
      </c>
      <c r="AN121" s="98">
        <v>28.7</v>
      </c>
      <c r="AO121" s="98">
        <v>30.2</v>
      </c>
      <c r="AP121" s="98">
        <v>31.6</v>
      </c>
      <c r="AQ121" s="98">
        <v>32.1</v>
      </c>
      <c r="AR121" s="98">
        <v>32.4</v>
      </c>
      <c r="AS121" s="98">
        <v>33.200000000000003</v>
      </c>
      <c r="AT121" s="98">
        <v>34</v>
      </c>
      <c r="AU121" s="98">
        <v>35.700000000000003</v>
      </c>
      <c r="AV121" s="98">
        <v>37.4</v>
      </c>
      <c r="AW121" s="98">
        <v>38.4</v>
      </c>
      <c r="AX121" s="98">
        <v>39.9</v>
      </c>
      <c r="AY121" s="98">
        <v>41.9</v>
      </c>
      <c r="AZ121" s="98">
        <v>41.6</v>
      </c>
      <c r="BA121" s="98">
        <v>40.700000000000003</v>
      </c>
      <c r="BB121" s="98">
        <v>41.4</v>
      </c>
      <c r="BC121" s="100">
        <v>42</v>
      </c>
      <c r="BD121" s="38">
        <v>42.2</v>
      </c>
      <c r="BE121" s="38">
        <v>43.8</v>
      </c>
      <c r="BF121" s="38">
        <v>46.6</v>
      </c>
      <c r="BG121" s="38">
        <v>48.9</v>
      </c>
      <c r="BH121" s="38">
        <v>51.7</v>
      </c>
      <c r="BI121" s="38">
        <v>53.4</v>
      </c>
      <c r="BJ121" s="38">
        <v>54.4</v>
      </c>
    </row>
    <row r="122" spans="1:63">
      <c r="C122" s="101" t="s">
        <v>317</v>
      </c>
      <c r="D122" s="98">
        <v>9.5</v>
      </c>
      <c r="E122" s="98">
        <v>9.6</v>
      </c>
      <c r="F122" s="98">
        <v>9.6</v>
      </c>
      <c r="G122" s="98">
        <v>9.8000000000000007</v>
      </c>
      <c r="H122" s="98">
        <v>10.8</v>
      </c>
      <c r="I122" s="98">
        <v>10.7</v>
      </c>
      <c r="J122" s="98">
        <v>10.9</v>
      </c>
      <c r="K122" s="98">
        <v>10.7</v>
      </c>
      <c r="L122" s="98">
        <v>10.9</v>
      </c>
      <c r="M122" s="98">
        <v>10.8</v>
      </c>
      <c r="N122" s="98">
        <v>10.9</v>
      </c>
      <c r="O122" s="98">
        <v>11.2</v>
      </c>
      <c r="P122" s="98">
        <v>11.4</v>
      </c>
      <c r="Q122" s="98">
        <v>12</v>
      </c>
      <c r="R122" s="98">
        <v>11.6</v>
      </c>
      <c r="S122" s="98">
        <v>11.4</v>
      </c>
      <c r="T122" s="98">
        <v>11.9</v>
      </c>
      <c r="U122" s="98">
        <v>11.7</v>
      </c>
      <c r="V122" s="98">
        <v>12.1</v>
      </c>
      <c r="W122" s="98">
        <v>12.2</v>
      </c>
      <c r="X122" s="98">
        <v>12.2</v>
      </c>
      <c r="Y122" s="98">
        <v>11.7</v>
      </c>
      <c r="Z122" s="98">
        <v>11.4</v>
      </c>
      <c r="AA122" s="98">
        <v>11.7</v>
      </c>
      <c r="AB122" s="98">
        <v>12.2</v>
      </c>
      <c r="AC122" s="98">
        <v>12.2</v>
      </c>
      <c r="AD122" s="98">
        <v>12.5</v>
      </c>
      <c r="AE122" s="98">
        <v>13.9</v>
      </c>
      <c r="AF122" s="98">
        <v>14.8</v>
      </c>
      <c r="AG122" s="98">
        <v>15.8</v>
      </c>
      <c r="AH122" s="98">
        <v>15.5</v>
      </c>
      <c r="AI122" s="98">
        <v>15.2</v>
      </c>
      <c r="AJ122" s="99">
        <v>14.8</v>
      </c>
      <c r="AK122" s="98">
        <v>15.1</v>
      </c>
      <c r="AL122" s="98">
        <v>15.4</v>
      </c>
      <c r="AM122" s="98">
        <v>15.8</v>
      </c>
      <c r="AN122" s="98">
        <v>16.3</v>
      </c>
      <c r="AO122" s="98">
        <v>16.7</v>
      </c>
      <c r="AP122" s="98">
        <v>17.2</v>
      </c>
      <c r="AQ122" s="98">
        <v>17.5</v>
      </c>
      <c r="AR122" s="98">
        <v>17.5</v>
      </c>
      <c r="AS122" s="98">
        <v>17.399999999999999</v>
      </c>
      <c r="AT122" s="98">
        <v>17.600000000000001</v>
      </c>
      <c r="AU122" s="98">
        <v>17.7</v>
      </c>
      <c r="AV122" s="98">
        <v>18.2</v>
      </c>
      <c r="AW122" s="98">
        <v>18</v>
      </c>
      <c r="AX122" s="98">
        <v>18</v>
      </c>
      <c r="AY122" s="98">
        <v>18.2</v>
      </c>
      <c r="AZ122" s="98">
        <v>17.8</v>
      </c>
      <c r="BA122" s="98">
        <v>16.3</v>
      </c>
      <c r="BB122" s="98">
        <v>16.399999999999999</v>
      </c>
      <c r="BC122" s="100">
        <v>16</v>
      </c>
      <c r="BD122" s="38">
        <v>15.6</v>
      </c>
      <c r="BE122" s="38">
        <v>15.8</v>
      </c>
      <c r="BF122" s="38">
        <v>16.2</v>
      </c>
      <c r="BG122" s="38">
        <v>16.8</v>
      </c>
      <c r="BH122" s="38">
        <v>17</v>
      </c>
      <c r="BI122" s="38">
        <v>17.2</v>
      </c>
      <c r="BJ122" s="38">
        <v>17.3</v>
      </c>
    </row>
    <row r="123" spans="1:63">
      <c r="C123" s="102" t="s">
        <v>318</v>
      </c>
      <c r="D123" s="98">
        <v>6.2</v>
      </c>
      <c r="E123" s="98">
        <v>6</v>
      </c>
      <c r="F123" s="98">
        <v>5.4</v>
      </c>
      <c r="G123" s="98">
        <v>4.7</v>
      </c>
      <c r="H123" s="98">
        <v>4.7</v>
      </c>
      <c r="I123" s="98">
        <v>4.2</v>
      </c>
      <c r="J123" s="98">
        <v>3.7</v>
      </c>
      <c r="K123" s="98">
        <v>3.2</v>
      </c>
      <c r="L123" s="98">
        <v>2.9</v>
      </c>
      <c r="M123" s="98">
        <v>2.6</v>
      </c>
      <c r="N123" s="98">
        <v>2.5</v>
      </c>
      <c r="O123" s="98">
        <v>2.4</v>
      </c>
      <c r="P123" s="98">
        <v>2.2999999999999998</v>
      </c>
      <c r="Q123" s="98">
        <v>2.4</v>
      </c>
      <c r="R123" s="98">
        <v>2.6</v>
      </c>
      <c r="S123" s="98">
        <v>3.2</v>
      </c>
      <c r="T123" s="98">
        <v>3.9</v>
      </c>
      <c r="U123" s="98">
        <v>3.9</v>
      </c>
      <c r="V123" s="98">
        <v>3.8</v>
      </c>
      <c r="W123" s="98">
        <v>4</v>
      </c>
      <c r="X123" s="98">
        <v>4.8</v>
      </c>
      <c r="Y123" s="98">
        <v>5.5</v>
      </c>
      <c r="Z123" s="98">
        <v>5.7</v>
      </c>
      <c r="AA123" s="98">
        <v>5.2</v>
      </c>
      <c r="AB123" s="98">
        <v>5</v>
      </c>
      <c r="AC123" s="98">
        <v>4.5999999999999996</v>
      </c>
      <c r="AD123" s="98">
        <v>4.4000000000000004</v>
      </c>
      <c r="AE123" s="98">
        <v>4.2</v>
      </c>
      <c r="AF123" s="98">
        <v>3.7</v>
      </c>
      <c r="AG123" s="98">
        <v>3.7</v>
      </c>
      <c r="AH123" s="98">
        <v>3.5</v>
      </c>
      <c r="AI123" s="98">
        <v>3.4</v>
      </c>
      <c r="AJ123" s="99">
        <v>2.8</v>
      </c>
      <c r="AK123" s="98">
        <v>2.2999999999999998</v>
      </c>
      <c r="AL123" s="98">
        <v>2.2999999999999998</v>
      </c>
      <c r="AM123" s="98">
        <v>2.2999999999999998</v>
      </c>
      <c r="AN123" s="98">
        <v>2.2999999999999998</v>
      </c>
      <c r="AO123" s="98">
        <v>2.5</v>
      </c>
      <c r="AP123" s="98">
        <v>2.6</v>
      </c>
      <c r="AQ123" s="98">
        <v>2.8</v>
      </c>
      <c r="AR123" s="98">
        <v>2.8</v>
      </c>
      <c r="AS123" s="98">
        <v>3</v>
      </c>
      <c r="AT123" s="98">
        <v>3.1</v>
      </c>
      <c r="AU123" s="98">
        <v>3.4</v>
      </c>
      <c r="AV123" s="98">
        <v>3.2</v>
      </c>
      <c r="AW123" s="98">
        <v>3.3</v>
      </c>
      <c r="AX123" s="98">
        <v>3.2</v>
      </c>
      <c r="AY123" s="98">
        <v>3.4</v>
      </c>
      <c r="AZ123" s="98">
        <v>3.1</v>
      </c>
      <c r="BA123" s="98">
        <v>3.2</v>
      </c>
      <c r="BB123" s="98">
        <v>2.9</v>
      </c>
      <c r="BC123" s="100">
        <v>2.9</v>
      </c>
      <c r="BD123" s="38">
        <v>2.9</v>
      </c>
      <c r="BE123" s="38">
        <v>2.8</v>
      </c>
      <c r="BF123" s="38">
        <v>2.9</v>
      </c>
      <c r="BG123" s="38">
        <v>2.9</v>
      </c>
      <c r="BH123" s="38">
        <v>3</v>
      </c>
      <c r="BI123" s="38">
        <v>3</v>
      </c>
      <c r="BJ123" s="38">
        <v>3</v>
      </c>
    </row>
    <row r="124" spans="1:63">
      <c r="C124" s="102" t="s">
        <v>319</v>
      </c>
      <c r="D124" s="98">
        <v>2.4</v>
      </c>
      <c r="E124" s="98">
        <v>2.5</v>
      </c>
      <c r="F124" s="98">
        <v>2.5</v>
      </c>
      <c r="G124" s="98">
        <v>2.5</v>
      </c>
      <c r="H124" s="98">
        <v>2.5</v>
      </c>
      <c r="I124" s="98">
        <v>2.4</v>
      </c>
      <c r="J124" s="98">
        <v>2.4</v>
      </c>
      <c r="K124" s="98">
        <v>2.4</v>
      </c>
      <c r="L124" s="98">
        <v>2.4</v>
      </c>
      <c r="M124" s="98">
        <v>2.4</v>
      </c>
      <c r="N124" s="98">
        <v>2.2000000000000002</v>
      </c>
      <c r="O124" s="98">
        <v>2.2000000000000002</v>
      </c>
      <c r="P124" s="98">
        <v>2.2000000000000002</v>
      </c>
      <c r="Q124" s="98">
        <v>2.2000000000000002</v>
      </c>
      <c r="R124" s="98">
        <v>2.1</v>
      </c>
      <c r="S124" s="98">
        <v>2</v>
      </c>
      <c r="T124" s="98">
        <v>2.1</v>
      </c>
      <c r="U124" s="98">
        <v>2</v>
      </c>
      <c r="V124" s="98">
        <v>2.1</v>
      </c>
      <c r="W124" s="98">
        <v>2.1</v>
      </c>
      <c r="X124" s="98">
        <v>2.2000000000000002</v>
      </c>
      <c r="Y124" s="98">
        <v>2.2000000000000002</v>
      </c>
      <c r="Z124" s="98">
        <v>2.2000000000000002</v>
      </c>
      <c r="AA124" s="98">
        <v>2.2999999999999998</v>
      </c>
      <c r="AB124" s="98">
        <v>2.4</v>
      </c>
      <c r="AC124" s="98">
        <v>2.2999999999999998</v>
      </c>
      <c r="AD124" s="98">
        <v>2.2999999999999998</v>
      </c>
      <c r="AE124" s="98">
        <v>2.5</v>
      </c>
      <c r="AF124" s="98">
        <v>2.7</v>
      </c>
      <c r="AG124" s="98">
        <v>2.8</v>
      </c>
      <c r="AH124" s="98">
        <v>2.9</v>
      </c>
      <c r="AI124" s="98">
        <v>3</v>
      </c>
      <c r="AJ124" s="99">
        <v>2.9</v>
      </c>
      <c r="AK124" s="98">
        <v>2.9</v>
      </c>
      <c r="AL124" s="98">
        <v>2.9</v>
      </c>
      <c r="AM124" s="98">
        <v>3</v>
      </c>
      <c r="AN124" s="98">
        <v>3.1</v>
      </c>
      <c r="AO124" s="98">
        <v>3.2</v>
      </c>
      <c r="AP124" s="98">
        <v>3.3</v>
      </c>
      <c r="AQ124" s="98">
        <v>3.3</v>
      </c>
      <c r="AR124" s="98">
        <v>3.2</v>
      </c>
      <c r="AS124" s="98">
        <v>3.2</v>
      </c>
      <c r="AT124" s="98">
        <v>3.2</v>
      </c>
      <c r="AU124" s="98">
        <v>3.3</v>
      </c>
      <c r="AV124" s="98">
        <v>3.2</v>
      </c>
      <c r="AW124" s="98">
        <v>3.2</v>
      </c>
      <c r="AX124" s="98">
        <v>3.3</v>
      </c>
      <c r="AY124" s="98">
        <v>3.4</v>
      </c>
      <c r="AZ124" s="98">
        <v>3.1</v>
      </c>
      <c r="BA124" s="98">
        <v>3.1</v>
      </c>
      <c r="BB124" s="98">
        <v>3.2</v>
      </c>
      <c r="BC124" s="100">
        <v>3</v>
      </c>
      <c r="BD124" s="38">
        <v>2.8</v>
      </c>
      <c r="BE124" s="38">
        <v>2.9</v>
      </c>
      <c r="BF124" s="38">
        <v>2.9</v>
      </c>
      <c r="BG124" s="38">
        <v>2.8</v>
      </c>
      <c r="BH124" s="38">
        <v>2.6</v>
      </c>
      <c r="BI124" s="38">
        <v>2.6</v>
      </c>
      <c r="BJ124" s="38">
        <v>2.5</v>
      </c>
    </row>
    <row r="125" spans="1:63" s="51" customFormat="1">
      <c r="C125" s="103" t="s">
        <v>308</v>
      </c>
      <c r="D125" s="104">
        <f>SUM(D120:D124)</f>
        <v>69.7</v>
      </c>
      <c r="E125" s="104">
        <f t="shared" ref="E125:BJ125" si="33">SUM(E120:E124)</f>
        <v>76.099999999999994</v>
      </c>
      <c r="F125" s="104">
        <f t="shared" si="33"/>
        <v>79.8</v>
      </c>
      <c r="G125" s="104">
        <f t="shared" si="33"/>
        <v>84.7</v>
      </c>
      <c r="H125" s="104">
        <f t="shared" si="33"/>
        <v>94.7</v>
      </c>
      <c r="I125" s="104">
        <f t="shared" si="33"/>
        <v>101.10000000000001</v>
      </c>
      <c r="J125" s="104">
        <f t="shared" si="33"/>
        <v>107.4</v>
      </c>
      <c r="K125" s="104">
        <f t="shared" si="33"/>
        <v>111.80000000000001</v>
      </c>
      <c r="L125" s="104">
        <f t="shared" si="33"/>
        <v>116.60000000000002</v>
      </c>
      <c r="M125" s="104">
        <f t="shared" si="33"/>
        <v>119.7</v>
      </c>
      <c r="N125" s="104">
        <f t="shared" si="33"/>
        <v>124.5</v>
      </c>
      <c r="O125" s="104">
        <f t="shared" si="33"/>
        <v>131.6</v>
      </c>
      <c r="P125" s="104">
        <f t="shared" si="33"/>
        <v>138.29999999999998</v>
      </c>
      <c r="Q125" s="104">
        <f t="shared" si="33"/>
        <v>145.4</v>
      </c>
      <c r="R125" s="104">
        <f t="shared" si="33"/>
        <v>142.79999999999998</v>
      </c>
      <c r="S125" s="104">
        <f t="shared" si="33"/>
        <v>143.99999999999997</v>
      </c>
      <c r="T125" s="104">
        <f t="shared" si="33"/>
        <v>151.20000000000002</v>
      </c>
      <c r="U125" s="104">
        <f t="shared" si="33"/>
        <v>153.39999999999998</v>
      </c>
      <c r="V125" s="104">
        <f t="shared" si="33"/>
        <v>159.5</v>
      </c>
      <c r="W125" s="104">
        <f t="shared" si="33"/>
        <v>159.1</v>
      </c>
      <c r="X125" s="104">
        <f t="shared" si="33"/>
        <v>168.99999999999997</v>
      </c>
      <c r="Y125" s="104">
        <f t="shared" si="33"/>
        <v>172.1</v>
      </c>
      <c r="Z125" s="104">
        <f t="shared" si="33"/>
        <v>176.69999999999996</v>
      </c>
      <c r="AA125" s="104">
        <f t="shared" si="33"/>
        <v>179.09999999999997</v>
      </c>
      <c r="AB125" s="104">
        <f t="shared" si="33"/>
        <v>188.29999999999998</v>
      </c>
      <c r="AC125" s="104">
        <f t="shared" si="33"/>
        <v>192.6</v>
      </c>
      <c r="AD125" s="104">
        <f t="shared" si="33"/>
        <v>202.10000000000002</v>
      </c>
      <c r="AE125" s="104">
        <f t="shared" si="33"/>
        <v>217.70000000000002</v>
      </c>
      <c r="AF125" s="104">
        <f t="shared" si="33"/>
        <v>233.5</v>
      </c>
      <c r="AG125" s="104">
        <f t="shared" si="33"/>
        <v>252.9</v>
      </c>
      <c r="AH125" s="104">
        <f t="shared" si="33"/>
        <v>255.4</v>
      </c>
      <c r="AI125" s="104">
        <f t="shared" si="33"/>
        <v>255.8</v>
      </c>
      <c r="AJ125" s="104">
        <f t="shared" si="33"/>
        <v>256.10000000000002</v>
      </c>
      <c r="AK125" s="104">
        <f t="shared" si="33"/>
        <v>256.2</v>
      </c>
      <c r="AL125" s="104">
        <f t="shared" si="33"/>
        <v>261.89999999999998</v>
      </c>
      <c r="AM125" s="104">
        <f t="shared" si="33"/>
        <v>267</v>
      </c>
      <c r="AN125" s="104">
        <f t="shared" si="33"/>
        <v>274</v>
      </c>
      <c r="AO125" s="104">
        <f t="shared" si="33"/>
        <v>279.89999999999998</v>
      </c>
      <c r="AP125" s="104">
        <f t="shared" si="33"/>
        <v>285.00000000000006</v>
      </c>
      <c r="AQ125" s="104">
        <f t="shared" si="33"/>
        <v>290.20000000000005</v>
      </c>
      <c r="AR125" s="104">
        <f t="shared" si="33"/>
        <v>289.59999999999997</v>
      </c>
      <c r="AS125" s="104">
        <f t="shared" si="33"/>
        <v>293.7</v>
      </c>
      <c r="AT125" s="104">
        <f t="shared" si="33"/>
        <v>300.60000000000002</v>
      </c>
      <c r="AU125" s="104">
        <f t="shared" si="33"/>
        <v>302.39999999999998</v>
      </c>
      <c r="AV125" s="104">
        <f t="shared" si="33"/>
        <v>306.99999999999994</v>
      </c>
      <c r="AW125" s="104">
        <f t="shared" si="33"/>
        <v>306.89999999999998</v>
      </c>
      <c r="AX125" s="104">
        <f t="shared" si="33"/>
        <v>311.3</v>
      </c>
      <c r="AY125" s="104">
        <f t="shared" si="33"/>
        <v>314.19999999999993</v>
      </c>
      <c r="AZ125" s="104">
        <f t="shared" si="33"/>
        <v>311.00000000000006</v>
      </c>
      <c r="BA125" s="104">
        <f t="shared" si="33"/>
        <v>308.10000000000002</v>
      </c>
      <c r="BB125" s="104">
        <f t="shared" si="33"/>
        <v>305.79999999999995</v>
      </c>
      <c r="BC125" s="104">
        <f t="shared" si="33"/>
        <v>308.2</v>
      </c>
      <c r="BD125" s="104">
        <f t="shared" si="33"/>
        <v>309</v>
      </c>
      <c r="BE125" s="104">
        <f t="shared" si="33"/>
        <v>311.89999999999998</v>
      </c>
      <c r="BF125" s="104">
        <f t="shared" si="33"/>
        <v>322.09999999999997</v>
      </c>
      <c r="BG125" s="104">
        <f t="shared" si="33"/>
        <v>329.5</v>
      </c>
      <c r="BH125" s="104">
        <f t="shared" si="33"/>
        <v>338.2</v>
      </c>
      <c r="BI125" s="104">
        <f t="shared" si="33"/>
        <v>345.2</v>
      </c>
      <c r="BJ125" s="104">
        <f t="shared" si="33"/>
        <v>349.5</v>
      </c>
      <c r="BK125" s="105"/>
    </row>
    <row r="126" spans="1:63">
      <c r="A126" s="38" t="s">
        <v>320</v>
      </c>
    </row>
    <row r="127" spans="1:63" s="51" customFormat="1">
      <c r="A127" s="38" t="s">
        <v>321</v>
      </c>
      <c r="D127" s="51">
        <v>1960</v>
      </c>
      <c r="E127" s="51">
        <v>1961</v>
      </c>
      <c r="F127" s="51">
        <v>1962</v>
      </c>
      <c r="G127" s="51">
        <v>1963</v>
      </c>
      <c r="H127" s="51">
        <v>1964</v>
      </c>
      <c r="I127" s="51">
        <v>1965</v>
      </c>
      <c r="J127" s="51">
        <v>1966</v>
      </c>
      <c r="K127" s="51">
        <v>1967</v>
      </c>
      <c r="L127" s="51">
        <v>1968</v>
      </c>
      <c r="M127" s="51">
        <v>1969</v>
      </c>
      <c r="N127" s="51">
        <v>1970</v>
      </c>
      <c r="O127" s="51">
        <v>1971</v>
      </c>
      <c r="P127" s="51">
        <v>1972</v>
      </c>
      <c r="Q127" s="51">
        <v>1973</v>
      </c>
      <c r="R127" s="51">
        <v>1974</v>
      </c>
      <c r="S127" s="51">
        <v>1975</v>
      </c>
      <c r="T127" s="51">
        <v>1976</v>
      </c>
      <c r="U127" s="51">
        <v>1977</v>
      </c>
      <c r="V127" s="51">
        <v>1978</v>
      </c>
      <c r="W127" s="51">
        <v>1979</v>
      </c>
      <c r="X127" s="51">
        <v>1980</v>
      </c>
      <c r="Y127" s="51">
        <v>1981</v>
      </c>
      <c r="Z127" s="51">
        <v>1982</v>
      </c>
      <c r="AA127" s="51">
        <v>1983</v>
      </c>
      <c r="AB127" s="51">
        <v>1984</v>
      </c>
      <c r="AC127" s="51">
        <v>1985</v>
      </c>
      <c r="AD127" s="51">
        <v>1986</v>
      </c>
      <c r="AE127" s="51">
        <v>1987</v>
      </c>
      <c r="AF127" s="51">
        <v>1988</v>
      </c>
      <c r="AG127" s="51">
        <v>1989</v>
      </c>
      <c r="AH127" s="51">
        <v>1990</v>
      </c>
      <c r="AI127" s="51">
        <v>1991</v>
      </c>
      <c r="AJ127" s="51">
        <v>1992</v>
      </c>
      <c r="AK127" s="51">
        <v>1993</v>
      </c>
      <c r="AL127" s="51">
        <v>1994</v>
      </c>
      <c r="AM127" s="51">
        <v>1995</v>
      </c>
      <c r="AN127" s="51">
        <v>1996</v>
      </c>
      <c r="AO127" s="51">
        <v>1997</v>
      </c>
      <c r="AP127" s="51">
        <v>1998</v>
      </c>
      <c r="AQ127" s="51">
        <v>1999</v>
      </c>
      <c r="AR127" s="51">
        <v>2000</v>
      </c>
      <c r="AS127" s="51">
        <v>2001</v>
      </c>
      <c r="AT127" s="51">
        <v>2002</v>
      </c>
      <c r="AU127" s="51">
        <v>2003</v>
      </c>
      <c r="AV127" s="51">
        <v>2004</v>
      </c>
      <c r="AW127" s="51">
        <v>2005</v>
      </c>
      <c r="AX127" s="51">
        <v>2006</v>
      </c>
      <c r="AY127" s="51">
        <v>2007</v>
      </c>
      <c r="AZ127" s="51">
        <v>2008</v>
      </c>
      <c r="BA127" s="51">
        <v>2009</v>
      </c>
      <c r="BB127" s="51">
        <v>2010</v>
      </c>
      <c r="BC127" s="51">
        <v>2011</v>
      </c>
      <c r="BD127" s="51">
        <v>2012</v>
      </c>
      <c r="BE127" s="51">
        <v>2013</v>
      </c>
      <c r="BF127" s="51">
        <v>2014</v>
      </c>
      <c r="BG127" s="51">
        <v>2015</v>
      </c>
      <c r="BH127" s="51">
        <v>2016</v>
      </c>
      <c r="BI127" s="51">
        <v>2017</v>
      </c>
      <c r="BJ127" s="51">
        <v>2018</v>
      </c>
      <c r="BK127" s="106">
        <v>2019</v>
      </c>
    </row>
    <row r="128" spans="1:63">
      <c r="C128" s="97" t="s">
        <v>315</v>
      </c>
      <c r="D128" s="98">
        <f>D120*1.609</f>
        <v>68.060699999999997</v>
      </c>
      <c r="E128" s="98">
        <f t="shared" ref="E128:BJ132" si="34">E120*1.609</f>
        <v>76.910199999999989</v>
      </c>
      <c r="F128" s="98">
        <f t="shared" si="34"/>
        <v>83.668000000000006</v>
      </c>
      <c r="G128" s="98">
        <f t="shared" si="34"/>
        <v>91.391199999999998</v>
      </c>
      <c r="H128" s="98">
        <f t="shared" si="34"/>
        <v>105.71130000000001</v>
      </c>
      <c r="I128" s="98">
        <f t="shared" si="34"/>
        <v>115.848</v>
      </c>
      <c r="J128" s="98">
        <f t="shared" si="34"/>
        <v>126.46739999999998</v>
      </c>
      <c r="K128" s="98">
        <f t="shared" si="34"/>
        <v>134.99510000000001</v>
      </c>
      <c r="L128" s="98">
        <f t="shared" si="34"/>
        <v>142.7183</v>
      </c>
      <c r="M128" s="98">
        <f t="shared" si="34"/>
        <v>147.86710000000002</v>
      </c>
      <c r="N128" s="98">
        <f t="shared" si="34"/>
        <v>154.94669999999999</v>
      </c>
      <c r="O128" s="98">
        <f t="shared" si="34"/>
        <v>165.08339999999998</v>
      </c>
      <c r="P128" s="98">
        <f t="shared" si="34"/>
        <v>174.73739999999998</v>
      </c>
      <c r="Q128" s="98">
        <f t="shared" si="34"/>
        <v>183.90869999999998</v>
      </c>
      <c r="R128" s="98">
        <f t="shared" si="34"/>
        <v>179.8862</v>
      </c>
      <c r="S128" s="98">
        <f t="shared" si="34"/>
        <v>181.49519999999998</v>
      </c>
      <c r="T128" s="98">
        <f t="shared" si="34"/>
        <v>190.34469999999999</v>
      </c>
      <c r="U128" s="98">
        <f t="shared" si="34"/>
        <v>194.0454</v>
      </c>
      <c r="V128" s="98">
        <f t="shared" si="34"/>
        <v>202.41219999999998</v>
      </c>
      <c r="W128" s="98">
        <f t="shared" si="34"/>
        <v>201.4468</v>
      </c>
      <c r="X128" s="98">
        <f t="shared" si="34"/>
        <v>214.9624</v>
      </c>
      <c r="Y128" s="98">
        <f t="shared" si="34"/>
        <v>219.4676</v>
      </c>
      <c r="Z128" s="98">
        <f t="shared" si="34"/>
        <v>227.19079999999997</v>
      </c>
      <c r="AA128" s="98">
        <f t="shared" si="34"/>
        <v>231.21329999999998</v>
      </c>
      <c r="AB128" s="98">
        <f t="shared" si="34"/>
        <v>243.92439999999999</v>
      </c>
      <c r="AC128" s="98">
        <f t="shared" si="34"/>
        <v>250.52129999999997</v>
      </c>
      <c r="AD128" s="98">
        <f t="shared" si="34"/>
        <v>264.3587</v>
      </c>
      <c r="AE128" s="98">
        <f t="shared" si="34"/>
        <v>284.47120000000001</v>
      </c>
      <c r="AF128" s="98">
        <f t="shared" si="34"/>
        <v>305.38820000000004</v>
      </c>
      <c r="AG128" s="98">
        <f t="shared" si="34"/>
        <v>331.29309999999998</v>
      </c>
      <c r="AH128" s="98">
        <f t="shared" si="34"/>
        <v>335.79829999999998</v>
      </c>
      <c r="AI128" s="98">
        <f t="shared" si="34"/>
        <v>335.15469999999999</v>
      </c>
      <c r="AJ128" s="98">
        <f t="shared" si="34"/>
        <v>337.89</v>
      </c>
      <c r="AK128" s="98">
        <f t="shared" si="34"/>
        <v>338.05090000000001</v>
      </c>
      <c r="AL128" s="98">
        <f t="shared" si="34"/>
        <v>344.96960000000001</v>
      </c>
      <c r="AM128" s="98">
        <f t="shared" si="34"/>
        <v>351.0838</v>
      </c>
      <c r="AN128" s="98">
        <f t="shared" si="34"/>
        <v>359.7724</v>
      </c>
      <c r="AO128" s="98">
        <f t="shared" si="34"/>
        <v>365.72570000000002</v>
      </c>
      <c r="AP128" s="98">
        <f t="shared" si="34"/>
        <v>370.55270000000002</v>
      </c>
      <c r="AQ128" s="98">
        <f t="shared" si="34"/>
        <v>377.31049999999999</v>
      </c>
      <c r="AR128" s="98">
        <f t="shared" si="34"/>
        <v>376.02330000000001</v>
      </c>
      <c r="AS128" s="98">
        <f t="shared" si="34"/>
        <v>381.1721</v>
      </c>
      <c r="AT128" s="98">
        <f t="shared" si="34"/>
        <v>390.5043</v>
      </c>
      <c r="AU128" s="98">
        <f t="shared" si="34"/>
        <v>389.86070000000001</v>
      </c>
      <c r="AV128" s="98">
        <f t="shared" si="34"/>
        <v>394.20499999999998</v>
      </c>
      <c r="AW128" s="98">
        <f t="shared" si="34"/>
        <v>392.596</v>
      </c>
      <c r="AX128" s="98">
        <f t="shared" si="34"/>
        <v>397.26210000000003</v>
      </c>
      <c r="AY128" s="98">
        <f t="shared" si="34"/>
        <v>397.90570000000002</v>
      </c>
      <c r="AZ128" s="98">
        <f t="shared" si="34"/>
        <v>394.84860000000003</v>
      </c>
      <c r="BA128" s="98">
        <f t="shared" si="34"/>
        <v>393.88319999999999</v>
      </c>
      <c r="BB128" s="98">
        <f t="shared" si="34"/>
        <v>389.21710000000002</v>
      </c>
      <c r="BC128" s="98">
        <f t="shared" si="34"/>
        <v>393.07870000000003</v>
      </c>
      <c r="BD128" s="98">
        <f t="shared" si="34"/>
        <v>395.0095</v>
      </c>
      <c r="BE128" s="98">
        <f t="shared" si="34"/>
        <v>396.77940000000001</v>
      </c>
      <c r="BF128" s="98">
        <f t="shared" si="34"/>
        <v>407.88150000000002</v>
      </c>
      <c r="BG128" s="98">
        <f t="shared" si="34"/>
        <v>415.28290000000004</v>
      </c>
      <c r="BH128" s="98">
        <f t="shared" si="34"/>
        <v>424.61509999999998</v>
      </c>
      <c r="BI128" s="98">
        <f t="shared" si="34"/>
        <v>432.82099999999997</v>
      </c>
      <c r="BJ128" s="98">
        <f t="shared" si="34"/>
        <v>438.13069999999999</v>
      </c>
      <c r="BK128" s="107"/>
    </row>
    <row r="129" spans="2:63">
      <c r="C129" s="97" t="s">
        <v>316</v>
      </c>
      <c r="D129" s="98">
        <f>D121*1.609</f>
        <v>14.963700000000001</v>
      </c>
      <c r="E129" s="98">
        <f t="shared" si="34"/>
        <v>16.411799999999999</v>
      </c>
      <c r="F129" s="98">
        <f t="shared" si="34"/>
        <v>16.572700000000001</v>
      </c>
      <c r="G129" s="98">
        <f t="shared" si="34"/>
        <v>17.5381</v>
      </c>
      <c r="H129" s="98">
        <f t="shared" si="34"/>
        <v>17.698999999999998</v>
      </c>
      <c r="I129" s="98">
        <f t="shared" si="34"/>
        <v>18.9862</v>
      </c>
      <c r="J129" s="98">
        <f t="shared" si="34"/>
        <v>18.9862</v>
      </c>
      <c r="K129" s="98">
        <f t="shared" si="34"/>
        <v>18.664400000000001</v>
      </c>
      <c r="L129" s="98">
        <f t="shared" si="34"/>
        <v>18.825299999999999</v>
      </c>
      <c r="M129" s="98">
        <f t="shared" si="34"/>
        <v>19.308</v>
      </c>
      <c r="N129" s="98">
        <f t="shared" si="34"/>
        <v>20.273399999999999</v>
      </c>
      <c r="O129" s="98">
        <f t="shared" si="34"/>
        <v>21.238799999999998</v>
      </c>
      <c r="P129" s="98">
        <f t="shared" si="34"/>
        <v>22.2042</v>
      </c>
      <c r="Q129" s="98">
        <f t="shared" si="34"/>
        <v>23.330500000000001</v>
      </c>
      <c r="R129" s="98">
        <f t="shared" si="34"/>
        <v>23.6523</v>
      </c>
      <c r="S129" s="98">
        <f t="shared" si="34"/>
        <v>23.491399999999999</v>
      </c>
      <c r="T129" s="98">
        <f t="shared" si="34"/>
        <v>24.134999999999998</v>
      </c>
      <c r="U129" s="98">
        <f t="shared" si="34"/>
        <v>24.456799999999998</v>
      </c>
      <c r="V129" s="98">
        <f t="shared" si="34"/>
        <v>25.261299999999999</v>
      </c>
      <c r="W129" s="98">
        <f t="shared" si="34"/>
        <v>25.1004</v>
      </c>
      <c r="X129" s="98">
        <f t="shared" si="34"/>
        <v>26.065799999999999</v>
      </c>
      <c r="Y129" s="98">
        <f t="shared" si="34"/>
        <v>26.226700000000001</v>
      </c>
      <c r="Z129" s="98">
        <f t="shared" si="34"/>
        <v>26.065799999999999</v>
      </c>
      <c r="AA129" s="98">
        <f t="shared" si="34"/>
        <v>26.065799999999999</v>
      </c>
      <c r="AB129" s="98">
        <f t="shared" si="34"/>
        <v>27.513900000000003</v>
      </c>
      <c r="AC129" s="98">
        <f t="shared" si="34"/>
        <v>28.6402</v>
      </c>
      <c r="AD129" s="98">
        <f t="shared" si="34"/>
        <v>29.927400000000002</v>
      </c>
      <c r="AE129" s="98">
        <f t="shared" si="34"/>
        <v>32.662700000000001</v>
      </c>
      <c r="AF129" s="98">
        <f t="shared" si="34"/>
        <v>36.202500000000001</v>
      </c>
      <c r="AG129" s="98">
        <f t="shared" si="34"/>
        <v>39.7423</v>
      </c>
      <c r="AH129" s="98">
        <f t="shared" si="34"/>
        <v>39.903199999999998</v>
      </c>
      <c r="AI129" s="98">
        <f t="shared" si="34"/>
        <v>41.673099999999998</v>
      </c>
      <c r="AJ129" s="98">
        <f t="shared" si="34"/>
        <v>41.190400000000004</v>
      </c>
      <c r="AK129" s="98">
        <f t="shared" si="34"/>
        <v>41.5122</v>
      </c>
      <c r="AL129" s="98">
        <f t="shared" si="34"/>
        <v>43.2821</v>
      </c>
      <c r="AM129" s="98">
        <f t="shared" si="34"/>
        <v>44.569299999999998</v>
      </c>
      <c r="AN129" s="98">
        <f t="shared" si="34"/>
        <v>46.1783</v>
      </c>
      <c r="AO129" s="98">
        <f t="shared" si="34"/>
        <v>48.591799999999999</v>
      </c>
      <c r="AP129" s="98">
        <f t="shared" si="34"/>
        <v>50.8444</v>
      </c>
      <c r="AQ129" s="98">
        <f t="shared" si="34"/>
        <v>51.648900000000005</v>
      </c>
      <c r="AR129" s="98">
        <f t="shared" si="34"/>
        <v>52.131599999999999</v>
      </c>
      <c r="AS129" s="98">
        <f t="shared" si="34"/>
        <v>53.418800000000005</v>
      </c>
      <c r="AT129" s="98">
        <f t="shared" si="34"/>
        <v>54.706000000000003</v>
      </c>
      <c r="AU129" s="98">
        <f t="shared" si="34"/>
        <v>57.441300000000005</v>
      </c>
      <c r="AV129" s="98">
        <f t="shared" si="34"/>
        <v>60.176600000000001</v>
      </c>
      <c r="AW129" s="98">
        <f t="shared" si="34"/>
        <v>61.785599999999995</v>
      </c>
      <c r="AX129" s="98">
        <f t="shared" si="34"/>
        <v>64.199100000000001</v>
      </c>
      <c r="AY129" s="98">
        <f t="shared" si="34"/>
        <v>67.417099999999991</v>
      </c>
      <c r="AZ129" s="98">
        <f t="shared" si="34"/>
        <v>66.934399999999997</v>
      </c>
      <c r="BA129" s="98">
        <f t="shared" si="34"/>
        <v>65.4863</v>
      </c>
      <c r="BB129" s="98">
        <f t="shared" si="34"/>
        <v>66.6126</v>
      </c>
      <c r="BC129" s="98">
        <f t="shared" si="34"/>
        <v>67.578000000000003</v>
      </c>
      <c r="BD129" s="98">
        <f t="shared" si="34"/>
        <v>67.899799999999999</v>
      </c>
      <c r="BE129" s="98">
        <f t="shared" si="34"/>
        <v>70.474199999999996</v>
      </c>
      <c r="BF129" s="98">
        <f t="shared" si="34"/>
        <v>74.979399999999998</v>
      </c>
      <c r="BG129" s="98">
        <f t="shared" si="34"/>
        <v>78.680099999999996</v>
      </c>
      <c r="BH129" s="98">
        <f t="shared" si="34"/>
        <v>83.185299999999998</v>
      </c>
      <c r="BI129" s="98">
        <f t="shared" si="34"/>
        <v>85.920599999999993</v>
      </c>
      <c r="BJ129" s="98">
        <f t="shared" si="34"/>
        <v>87.529600000000002</v>
      </c>
      <c r="BK129" s="107"/>
    </row>
    <row r="130" spans="2:63">
      <c r="C130" s="101" t="s">
        <v>317</v>
      </c>
      <c r="D130" s="98">
        <f>D122*1.609</f>
        <v>15.285499999999999</v>
      </c>
      <c r="E130" s="98">
        <f t="shared" si="34"/>
        <v>15.446399999999999</v>
      </c>
      <c r="F130" s="98">
        <f t="shared" si="34"/>
        <v>15.446399999999999</v>
      </c>
      <c r="G130" s="98">
        <f t="shared" si="34"/>
        <v>15.7682</v>
      </c>
      <c r="H130" s="98">
        <f t="shared" si="34"/>
        <v>17.377200000000002</v>
      </c>
      <c r="I130" s="98">
        <f t="shared" si="34"/>
        <v>17.2163</v>
      </c>
      <c r="J130" s="98">
        <f t="shared" si="34"/>
        <v>17.5381</v>
      </c>
      <c r="K130" s="98">
        <f t="shared" si="34"/>
        <v>17.2163</v>
      </c>
      <c r="L130" s="98">
        <f t="shared" si="34"/>
        <v>17.5381</v>
      </c>
      <c r="M130" s="98">
        <f t="shared" si="34"/>
        <v>17.377200000000002</v>
      </c>
      <c r="N130" s="98">
        <f t="shared" si="34"/>
        <v>17.5381</v>
      </c>
      <c r="O130" s="98">
        <f t="shared" si="34"/>
        <v>18.020799999999998</v>
      </c>
      <c r="P130" s="98">
        <f t="shared" si="34"/>
        <v>18.342600000000001</v>
      </c>
      <c r="Q130" s="98">
        <f t="shared" si="34"/>
        <v>19.308</v>
      </c>
      <c r="R130" s="98">
        <f t="shared" si="34"/>
        <v>18.664400000000001</v>
      </c>
      <c r="S130" s="98">
        <f t="shared" si="34"/>
        <v>18.342600000000001</v>
      </c>
      <c r="T130" s="98">
        <f t="shared" si="34"/>
        <v>19.147100000000002</v>
      </c>
      <c r="U130" s="98">
        <f t="shared" si="34"/>
        <v>18.825299999999999</v>
      </c>
      <c r="V130" s="98">
        <f t="shared" si="34"/>
        <v>19.468899999999998</v>
      </c>
      <c r="W130" s="98">
        <f t="shared" si="34"/>
        <v>19.629799999999999</v>
      </c>
      <c r="X130" s="98">
        <f t="shared" si="34"/>
        <v>19.629799999999999</v>
      </c>
      <c r="Y130" s="98">
        <f t="shared" si="34"/>
        <v>18.825299999999999</v>
      </c>
      <c r="Z130" s="98">
        <f t="shared" si="34"/>
        <v>18.342600000000001</v>
      </c>
      <c r="AA130" s="98">
        <f t="shared" si="34"/>
        <v>18.825299999999999</v>
      </c>
      <c r="AB130" s="98">
        <f t="shared" si="34"/>
        <v>19.629799999999999</v>
      </c>
      <c r="AC130" s="98">
        <f t="shared" si="34"/>
        <v>19.629799999999999</v>
      </c>
      <c r="AD130" s="98">
        <f t="shared" si="34"/>
        <v>20.112500000000001</v>
      </c>
      <c r="AE130" s="98">
        <f t="shared" si="34"/>
        <v>22.365100000000002</v>
      </c>
      <c r="AF130" s="98">
        <f t="shared" si="34"/>
        <v>23.813200000000002</v>
      </c>
      <c r="AG130" s="98">
        <f t="shared" si="34"/>
        <v>25.4222</v>
      </c>
      <c r="AH130" s="98">
        <f t="shared" si="34"/>
        <v>24.939499999999999</v>
      </c>
      <c r="AI130" s="98">
        <f t="shared" si="34"/>
        <v>24.456799999999998</v>
      </c>
      <c r="AJ130" s="98">
        <f t="shared" si="34"/>
        <v>23.813200000000002</v>
      </c>
      <c r="AK130" s="98">
        <f t="shared" si="34"/>
        <v>24.2959</v>
      </c>
      <c r="AL130" s="98">
        <f t="shared" si="34"/>
        <v>24.778600000000001</v>
      </c>
      <c r="AM130" s="98">
        <f t="shared" si="34"/>
        <v>25.4222</v>
      </c>
      <c r="AN130" s="98">
        <f t="shared" si="34"/>
        <v>26.226700000000001</v>
      </c>
      <c r="AO130" s="98">
        <f t="shared" si="34"/>
        <v>26.8703</v>
      </c>
      <c r="AP130" s="98">
        <f t="shared" si="34"/>
        <v>27.674799999999998</v>
      </c>
      <c r="AQ130" s="98">
        <f t="shared" si="34"/>
        <v>28.157499999999999</v>
      </c>
      <c r="AR130" s="98">
        <f t="shared" si="34"/>
        <v>28.157499999999999</v>
      </c>
      <c r="AS130" s="98">
        <f t="shared" si="34"/>
        <v>27.996599999999997</v>
      </c>
      <c r="AT130" s="98">
        <f t="shared" si="34"/>
        <v>28.3184</v>
      </c>
      <c r="AU130" s="98">
        <f t="shared" si="34"/>
        <v>28.479299999999999</v>
      </c>
      <c r="AV130" s="98">
        <f t="shared" si="34"/>
        <v>29.283799999999999</v>
      </c>
      <c r="AW130" s="98">
        <f t="shared" si="34"/>
        <v>28.962</v>
      </c>
      <c r="AX130" s="98">
        <f t="shared" si="34"/>
        <v>28.962</v>
      </c>
      <c r="AY130" s="98">
        <f t="shared" si="34"/>
        <v>29.283799999999999</v>
      </c>
      <c r="AZ130" s="98">
        <f t="shared" si="34"/>
        <v>28.6402</v>
      </c>
      <c r="BA130" s="98">
        <f t="shared" si="34"/>
        <v>26.226700000000001</v>
      </c>
      <c r="BB130" s="98">
        <f t="shared" si="34"/>
        <v>26.387599999999999</v>
      </c>
      <c r="BC130" s="98">
        <f t="shared" si="34"/>
        <v>25.744</v>
      </c>
      <c r="BD130" s="98">
        <f t="shared" si="34"/>
        <v>25.1004</v>
      </c>
      <c r="BE130" s="98">
        <f t="shared" si="34"/>
        <v>25.4222</v>
      </c>
      <c r="BF130" s="98">
        <f t="shared" si="34"/>
        <v>26.065799999999999</v>
      </c>
      <c r="BG130" s="98">
        <f t="shared" si="34"/>
        <v>27.031200000000002</v>
      </c>
      <c r="BH130" s="98">
        <f t="shared" si="34"/>
        <v>27.353000000000002</v>
      </c>
      <c r="BI130" s="98">
        <f t="shared" si="34"/>
        <v>27.674799999999998</v>
      </c>
      <c r="BJ130" s="98">
        <f t="shared" si="34"/>
        <v>27.835699999999999</v>
      </c>
      <c r="BK130" s="107"/>
    </row>
    <row r="131" spans="2:63">
      <c r="C131" s="102" t="s">
        <v>318</v>
      </c>
      <c r="D131" s="98">
        <f>D123*1.609</f>
        <v>9.9757999999999996</v>
      </c>
      <c r="E131" s="98">
        <f t="shared" si="34"/>
        <v>9.6539999999999999</v>
      </c>
      <c r="F131" s="98">
        <f t="shared" si="34"/>
        <v>8.688600000000001</v>
      </c>
      <c r="G131" s="98">
        <f t="shared" si="34"/>
        <v>7.5623000000000005</v>
      </c>
      <c r="H131" s="98">
        <f t="shared" si="34"/>
        <v>7.5623000000000005</v>
      </c>
      <c r="I131" s="98">
        <f t="shared" si="34"/>
        <v>6.7578000000000005</v>
      </c>
      <c r="J131" s="98">
        <f t="shared" si="34"/>
        <v>5.9533000000000005</v>
      </c>
      <c r="K131" s="98">
        <f t="shared" si="34"/>
        <v>5.1488000000000005</v>
      </c>
      <c r="L131" s="98">
        <f t="shared" si="34"/>
        <v>4.6661000000000001</v>
      </c>
      <c r="M131" s="98">
        <f t="shared" si="34"/>
        <v>4.1833999999999998</v>
      </c>
      <c r="N131" s="98">
        <f t="shared" si="34"/>
        <v>4.0225</v>
      </c>
      <c r="O131" s="98">
        <f t="shared" si="34"/>
        <v>3.8615999999999997</v>
      </c>
      <c r="P131" s="98">
        <f t="shared" si="34"/>
        <v>3.7006999999999999</v>
      </c>
      <c r="Q131" s="98">
        <f t="shared" si="34"/>
        <v>3.8615999999999997</v>
      </c>
      <c r="R131" s="98">
        <f t="shared" si="34"/>
        <v>4.1833999999999998</v>
      </c>
      <c r="S131" s="98">
        <f t="shared" si="34"/>
        <v>5.1488000000000005</v>
      </c>
      <c r="T131" s="98">
        <f t="shared" si="34"/>
        <v>6.2751000000000001</v>
      </c>
      <c r="U131" s="98">
        <f t="shared" si="34"/>
        <v>6.2751000000000001</v>
      </c>
      <c r="V131" s="98">
        <f t="shared" si="34"/>
        <v>6.1141999999999994</v>
      </c>
      <c r="W131" s="98">
        <f t="shared" si="34"/>
        <v>6.4359999999999999</v>
      </c>
      <c r="X131" s="98">
        <f t="shared" si="34"/>
        <v>7.7231999999999994</v>
      </c>
      <c r="Y131" s="98">
        <f t="shared" si="34"/>
        <v>8.849499999999999</v>
      </c>
      <c r="Z131" s="98">
        <f t="shared" si="34"/>
        <v>9.1713000000000005</v>
      </c>
      <c r="AA131" s="98">
        <f t="shared" si="34"/>
        <v>8.3667999999999996</v>
      </c>
      <c r="AB131" s="98">
        <f t="shared" si="34"/>
        <v>8.0449999999999999</v>
      </c>
      <c r="AC131" s="98">
        <f t="shared" si="34"/>
        <v>7.4013999999999998</v>
      </c>
      <c r="AD131" s="98">
        <f t="shared" si="34"/>
        <v>7.0796000000000001</v>
      </c>
      <c r="AE131" s="98">
        <f t="shared" si="34"/>
        <v>6.7578000000000005</v>
      </c>
      <c r="AF131" s="98">
        <f t="shared" si="34"/>
        <v>5.9533000000000005</v>
      </c>
      <c r="AG131" s="98">
        <f t="shared" si="34"/>
        <v>5.9533000000000005</v>
      </c>
      <c r="AH131" s="98">
        <f t="shared" si="34"/>
        <v>5.6315</v>
      </c>
      <c r="AI131" s="98">
        <f t="shared" si="34"/>
        <v>5.4706000000000001</v>
      </c>
      <c r="AJ131" s="98">
        <f t="shared" si="34"/>
        <v>4.5051999999999994</v>
      </c>
      <c r="AK131" s="98">
        <f t="shared" si="34"/>
        <v>3.7006999999999999</v>
      </c>
      <c r="AL131" s="98">
        <f t="shared" si="34"/>
        <v>3.7006999999999999</v>
      </c>
      <c r="AM131" s="98">
        <f t="shared" si="34"/>
        <v>3.7006999999999999</v>
      </c>
      <c r="AN131" s="98">
        <f t="shared" si="34"/>
        <v>3.7006999999999999</v>
      </c>
      <c r="AO131" s="98">
        <f t="shared" si="34"/>
        <v>4.0225</v>
      </c>
      <c r="AP131" s="98">
        <f t="shared" si="34"/>
        <v>4.1833999999999998</v>
      </c>
      <c r="AQ131" s="98">
        <f t="shared" si="34"/>
        <v>4.5051999999999994</v>
      </c>
      <c r="AR131" s="98">
        <f t="shared" si="34"/>
        <v>4.5051999999999994</v>
      </c>
      <c r="AS131" s="98">
        <f t="shared" si="34"/>
        <v>4.827</v>
      </c>
      <c r="AT131" s="98">
        <f t="shared" si="34"/>
        <v>4.9878999999999998</v>
      </c>
      <c r="AU131" s="98">
        <f t="shared" si="34"/>
        <v>5.4706000000000001</v>
      </c>
      <c r="AV131" s="98">
        <f t="shared" si="34"/>
        <v>5.1488000000000005</v>
      </c>
      <c r="AW131" s="98">
        <f t="shared" si="34"/>
        <v>5.3096999999999994</v>
      </c>
      <c r="AX131" s="98">
        <f t="shared" si="34"/>
        <v>5.1488000000000005</v>
      </c>
      <c r="AY131" s="98">
        <f t="shared" si="34"/>
        <v>5.4706000000000001</v>
      </c>
      <c r="AZ131" s="98">
        <f t="shared" si="34"/>
        <v>4.9878999999999998</v>
      </c>
      <c r="BA131" s="98">
        <f t="shared" si="34"/>
        <v>5.1488000000000005</v>
      </c>
      <c r="BB131" s="98">
        <f t="shared" si="34"/>
        <v>4.6661000000000001</v>
      </c>
      <c r="BC131" s="98">
        <f t="shared" si="34"/>
        <v>4.6661000000000001</v>
      </c>
      <c r="BD131" s="98">
        <f t="shared" si="34"/>
        <v>4.6661000000000001</v>
      </c>
      <c r="BE131" s="98">
        <f t="shared" si="34"/>
        <v>4.5051999999999994</v>
      </c>
      <c r="BF131" s="98">
        <f t="shared" si="34"/>
        <v>4.6661000000000001</v>
      </c>
      <c r="BG131" s="98">
        <f t="shared" si="34"/>
        <v>4.6661000000000001</v>
      </c>
      <c r="BH131" s="98">
        <f t="shared" si="34"/>
        <v>4.827</v>
      </c>
      <c r="BI131" s="98">
        <f t="shared" si="34"/>
        <v>4.827</v>
      </c>
      <c r="BJ131" s="98">
        <f t="shared" si="34"/>
        <v>4.827</v>
      </c>
      <c r="BK131" s="107"/>
    </row>
    <row r="132" spans="2:63">
      <c r="C132" s="102" t="s">
        <v>319</v>
      </c>
      <c r="D132" s="98">
        <f>D124*1.609</f>
        <v>3.8615999999999997</v>
      </c>
      <c r="E132" s="98">
        <f t="shared" si="34"/>
        <v>4.0225</v>
      </c>
      <c r="F132" s="98">
        <f t="shared" si="34"/>
        <v>4.0225</v>
      </c>
      <c r="G132" s="98">
        <f t="shared" si="34"/>
        <v>4.0225</v>
      </c>
      <c r="H132" s="98">
        <f t="shared" si="34"/>
        <v>4.0225</v>
      </c>
      <c r="I132" s="98">
        <f t="shared" si="34"/>
        <v>3.8615999999999997</v>
      </c>
      <c r="J132" s="98">
        <f t="shared" si="34"/>
        <v>3.8615999999999997</v>
      </c>
      <c r="K132" s="98">
        <f t="shared" si="34"/>
        <v>3.8615999999999997</v>
      </c>
      <c r="L132" s="98">
        <f t="shared" si="34"/>
        <v>3.8615999999999997</v>
      </c>
      <c r="M132" s="98">
        <f t="shared" si="34"/>
        <v>3.8615999999999997</v>
      </c>
      <c r="N132" s="98">
        <f t="shared" si="34"/>
        <v>3.5398000000000001</v>
      </c>
      <c r="O132" s="98">
        <f t="shared" si="34"/>
        <v>3.5398000000000001</v>
      </c>
      <c r="P132" s="98">
        <f t="shared" si="34"/>
        <v>3.5398000000000001</v>
      </c>
      <c r="Q132" s="98">
        <f t="shared" si="34"/>
        <v>3.5398000000000001</v>
      </c>
      <c r="R132" s="98">
        <f t="shared" si="34"/>
        <v>3.3789000000000002</v>
      </c>
      <c r="S132" s="98">
        <f t="shared" si="34"/>
        <v>3.218</v>
      </c>
      <c r="T132" s="98">
        <f t="shared" si="34"/>
        <v>3.3789000000000002</v>
      </c>
      <c r="U132" s="98">
        <f t="shared" si="34"/>
        <v>3.218</v>
      </c>
      <c r="V132" s="98">
        <f t="shared" si="34"/>
        <v>3.3789000000000002</v>
      </c>
      <c r="W132" s="98">
        <f t="shared" si="34"/>
        <v>3.3789000000000002</v>
      </c>
      <c r="X132" s="98">
        <f t="shared" si="34"/>
        <v>3.5398000000000001</v>
      </c>
      <c r="Y132" s="98">
        <f t="shared" si="34"/>
        <v>3.5398000000000001</v>
      </c>
      <c r="Z132" s="98">
        <f t="shared" si="34"/>
        <v>3.5398000000000001</v>
      </c>
      <c r="AA132" s="98">
        <f t="shared" si="34"/>
        <v>3.7006999999999999</v>
      </c>
      <c r="AB132" s="98">
        <f t="shared" ref="AB132:BJ132" si="35">AB124*1.609</f>
        <v>3.8615999999999997</v>
      </c>
      <c r="AC132" s="98">
        <f t="shared" si="35"/>
        <v>3.7006999999999999</v>
      </c>
      <c r="AD132" s="98">
        <f t="shared" si="35"/>
        <v>3.7006999999999999</v>
      </c>
      <c r="AE132" s="98">
        <f t="shared" si="35"/>
        <v>4.0225</v>
      </c>
      <c r="AF132" s="98">
        <f t="shared" si="35"/>
        <v>4.3443000000000005</v>
      </c>
      <c r="AG132" s="98">
        <f t="shared" si="35"/>
        <v>4.5051999999999994</v>
      </c>
      <c r="AH132" s="98">
        <f t="shared" si="35"/>
        <v>4.6661000000000001</v>
      </c>
      <c r="AI132" s="98">
        <f t="shared" si="35"/>
        <v>4.827</v>
      </c>
      <c r="AJ132" s="98">
        <f t="shared" si="35"/>
        <v>4.6661000000000001</v>
      </c>
      <c r="AK132" s="98">
        <f t="shared" si="35"/>
        <v>4.6661000000000001</v>
      </c>
      <c r="AL132" s="98">
        <f t="shared" si="35"/>
        <v>4.6661000000000001</v>
      </c>
      <c r="AM132" s="98">
        <f t="shared" si="35"/>
        <v>4.827</v>
      </c>
      <c r="AN132" s="98">
        <f t="shared" si="35"/>
        <v>4.9878999999999998</v>
      </c>
      <c r="AO132" s="98">
        <f t="shared" si="35"/>
        <v>5.1488000000000005</v>
      </c>
      <c r="AP132" s="98">
        <f t="shared" si="35"/>
        <v>5.3096999999999994</v>
      </c>
      <c r="AQ132" s="98">
        <f t="shared" si="35"/>
        <v>5.3096999999999994</v>
      </c>
      <c r="AR132" s="98">
        <f t="shared" si="35"/>
        <v>5.1488000000000005</v>
      </c>
      <c r="AS132" s="98">
        <f t="shared" si="35"/>
        <v>5.1488000000000005</v>
      </c>
      <c r="AT132" s="98">
        <f t="shared" si="35"/>
        <v>5.1488000000000005</v>
      </c>
      <c r="AU132" s="98">
        <f t="shared" si="35"/>
        <v>5.3096999999999994</v>
      </c>
      <c r="AV132" s="98">
        <f t="shared" si="35"/>
        <v>5.1488000000000005</v>
      </c>
      <c r="AW132" s="98">
        <f t="shared" si="35"/>
        <v>5.1488000000000005</v>
      </c>
      <c r="AX132" s="98">
        <f t="shared" si="35"/>
        <v>5.3096999999999994</v>
      </c>
      <c r="AY132" s="98">
        <f t="shared" si="35"/>
        <v>5.4706000000000001</v>
      </c>
      <c r="AZ132" s="98">
        <f t="shared" si="35"/>
        <v>4.9878999999999998</v>
      </c>
      <c r="BA132" s="98">
        <f t="shared" si="35"/>
        <v>4.9878999999999998</v>
      </c>
      <c r="BB132" s="98">
        <f t="shared" si="35"/>
        <v>5.1488000000000005</v>
      </c>
      <c r="BC132" s="98">
        <f t="shared" si="35"/>
        <v>4.827</v>
      </c>
      <c r="BD132" s="98">
        <f t="shared" si="35"/>
        <v>4.5051999999999994</v>
      </c>
      <c r="BE132" s="98">
        <f t="shared" si="35"/>
        <v>4.6661000000000001</v>
      </c>
      <c r="BF132" s="98">
        <f t="shared" si="35"/>
        <v>4.6661000000000001</v>
      </c>
      <c r="BG132" s="98">
        <f t="shared" si="35"/>
        <v>4.5051999999999994</v>
      </c>
      <c r="BH132" s="98">
        <f t="shared" si="35"/>
        <v>4.1833999999999998</v>
      </c>
      <c r="BI132" s="98">
        <f t="shared" si="35"/>
        <v>4.1833999999999998</v>
      </c>
      <c r="BJ132" s="98">
        <f t="shared" si="35"/>
        <v>4.0225</v>
      </c>
      <c r="BK132" s="107"/>
    </row>
    <row r="133" spans="2:63" s="51" customFormat="1">
      <c r="C133" s="103" t="s">
        <v>308</v>
      </c>
      <c r="D133" s="104">
        <f>SUM(D128:D132)</f>
        <v>112.14729999999999</v>
      </c>
      <c r="E133" s="104">
        <f t="shared" ref="E133:BJ133" si="36">SUM(E128:E132)</f>
        <v>122.44489999999998</v>
      </c>
      <c r="F133" s="104">
        <f t="shared" si="36"/>
        <v>128.3982</v>
      </c>
      <c r="G133" s="104">
        <f t="shared" si="36"/>
        <v>136.28229999999999</v>
      </c>
      <c r="H133" s="104">
        <f t="shared" si="36"/>
        <v>152.37230000000002</v>
      </c>
      <c r="I133" s="104">
        <f t="shared" si="36"/>
        <v>162.66990000000001</v>
      </c>
      <c r="J133" s="104">
        <f t="shared" si="36"/>
        <v>172.8066</v>
      </c>
      <c r="K133" s="104">
        <f t="shared" si="36"/>
        <v>179.8862</v>
      </c>
      <c r="L133" s="104">
        <f t="shared" si="36"/>
        <v>187.60940000000002</v>
      </c>
      <c r="M133" s="104">
        <f t="shared" si="36"/>
        <v>192.59730000000002</v>
      </c>
      <c r="N133" s="104">
        <f t="shared" si="36"/>
        <v>200.32050000000001</v>
      </c>
      <c r="O133" s="104">
        <f t="shared" si="36"/>
        <v>211.74440000000001</v>
      </c>
      <c r="P133" s="104">
        <f t="shared" si="36"/>
        <v>222.52470000000002</v>
      </c>
      <c r="Q133" s="104">
        <f t="shared" si="36"/>
        <v>233.9486</v>
      </c>
      <c r="R133" s="104">
        <f t="shared" si="36"/>
        <v>229.76519999999999</v>
      </c>
      <c r="S133" s="104">
        <f t="shared" si="36"/>
        <v>231.69599999999997</v>
      </c>
      <c r="T133" s="104">
        <f t="shared" si="36"/>
        <v>243.28079999999997</v>
      </c>
      <c r="U133" s="104">
        <f t="shared" si="36"/>
        <v>246.82059999999998</v>
      </c>
      <c r="V133" s="104">
        <f t="shared" si="36"/>
        <v>256.63549999999998</v>
      </c>
      <c r="W133" s="104">
        <f t="shared" si="36"/>
        <v>255.99189999999999</v>
      </c>
      <c r="X133" s="104">
        <f t="shared" si="36"/>
        <v>271.92100000000005</v>
      </c>
      <c r="Y133" s="104">
        <f t="shared" si="36"/>
        <v>276.90889999999996</v>
      </c>
      <c r="Z133" s="104">
        <f t="shared" si="36"/>
        <v>284.31029999999993</v>
      </c>
      <c r="AA133" s="104">
        <f t="shared" si="36"/>
        <v>288.17189999999994</v>
      </c>
      <c r="AB133" s="104">
        <f t="shared" si="36"/>
        <v>302.97469999999998</v>
      </c>
      <c r="AC133" s="104">
        <f t="shared" si="36"/>
        <v>309.89339999999999</v>
      </c>
      <c r="AD133" s="104">
        <f t="shared" si="36"/>
        <v>325.1789</v>
      </c>
      <c r="AE133" s="104">
        <f t="shared" si="36"/>
        <v>350.27929999999998</v>
      </c>
      <c r="AF133" s="104">
        <f t="shared" si="36"/>
        <v>375.70150000000001</v>
      </c>
      <c r="AG133" s="104">
        <f t="shared" si="36"/>
        <v>406.91609999999997</v>
      </c>
      <c r="AH133" s="104">
        <f t="shared" si="36"/>
        <v>410.93860000000006</v>
      </c>
      <c r="AI133" s="104">
        <f t="shared" si="36"/>
        <v>411.58219999999994</v>
      </c>
      <c r="AJ133" s="104">
        <f t="shared" si="36"/>
        <v>412.06489999999997</v>
      </c>
      <c r="AK133" s="104">
        <f t="shared" si="36"/>
        <v>412.22580000000005</v>
      </c>
      <c r="AL133" s="104">
        <f t="shared" si="36"/>
        <v>421.39710000000002</v>
      </c>
      <c r="AM133" s="104">
        <f t="shared" si="36"/>
        <v>429.60299999999995</v>
      </c>
      <c r="AN133" s="104">
        <f t="shared" si="36"/>
        <v>440.86599999999999</v>
      </c>
      <c r="AO133" s="104">
        <f t="shared" si="36"/>
        <v>450.35909999999996</v>
      </c>
      <c r="AP133" s="104">
        <f t="shared" si="36"/>
        <v>458.56500000000005</v>
      </c>
      <c r="AQ133" s="104">
        <f t="shared" si="36"/>
        <v>466.93180000000001</v>
      </c>
      <c r="AR133" s="104">
        <f t="shared" si="36"/>
        <v>465.96640000000002</v>
      </c>
      <c r="AS133" s="104">
        <f t="shared" si="36"/>
        <v>472.56330000000003</v>
      </c>
      <c r="AT133" s="104">
        <f t="shared" si="36"/>
        <v>483.66540000000003</v>
      </c>
      <c r="AU133" s="104">
        <f t="shared" si="36"/>
        <v>486.56160000000006</v>
      </c>
      <c r="AV133" s="104">
        <f t="shared" si="36"/>
        <v>493.96299999999997</v>
      </c>
      <c r="AW133" s="104">
        <f t="shared" si="36"/>
        <v>493.8021</v>
      </c>
      <c r="AX133" s="104">
        <f t="shared" si="36"/>
        <v>500.88170000000002</v>
      </c>
      <c r="AY133" s="104">
        <f t="shared" si="36"/>
        <v>505.5478</v>
      </c>
      <c r="AZ133" s="104">
        <f t="shared" si="36"/>
        <v>500.39900000000006</v>
      </c>
      <c r="BA133" s="104">
        <f t="shared" si="36"/>
        <v>495.73290000000003</v>
      </c>
      <c r="BB133" s="104">
        <f t="shared" si="36"/>
        <v>492.03220000000005</v>
      </c>
      <c r="BC133" s="104">
        <f t="shared" si="36"/>
        <v>495.89380000000006</v>
      </c>
      <c r="BD133" s="104">
        <f t="shared" si="36"/>
        <v>497.18099999999998</v>
      </c>
      <c r="BE133" s="104">
        <f t="shared" si="36"/>
        <v>501.84709999999995</v>
      </c>
      <c r="BF133" s="104">
        <f t="shared" si="36"/>
        <v>518.25890000000004</v>
      </c>
      <c r="BG133" s="104">
        <f t="shared" si="36"/>
        <v>530.16549999999995</v>
      </c>
      <c r="BH133" s="104">
        <f t="shared" si="36"/>
        <v>544.16379999999992</v>
      </c>
      <c r="BI133" s="104">
        <f t="shared" si="36"/>
        <v>555.42679999999996</v>
      </c>
      <c r="BJ133" s="104">
        <f t="shared" si="36"/>
        <v>562.34550000000002</v>
      </c>
      <c r="BK133" s="108"/>
    </row>
    <row r="134" spans="2:63" s="51" customFormat="1">
      <c r="H134" s="104"/>
      <c r="I134" s="104"/>
      <c r="J134" s="104"/>
      <c r="K134" s="104"/>
      <c r="L134" s="104"/>
      <c r="M134" s="104"/>
      <c r="N134" s="104"/>
      <c r="O134" s="104"/>
      <c r="P134" s="104"/>
      <c r="Q134" s="104"/>
      <c r="R134" s="104"/>
      <c r="S134" s="104"/>
      <c r="T134" s="104"/>
      <c r="U134" s="104"/>
      <c r="V134" s="104"/>
      <c r="W134" s="104"/>
      <c r="X134" s="104"/>
      <c r="Y134" s="104"/>
      <c r="Z134" s="104"/>
      <c r="AA134" s="104"/>
      <c r="AB134" s="104"/>
      <c r="AC134" s="104"/>
      <c r="AD134" s="104"/>
      <c r="AE134" s="104"/>
      <c r="AF134" s="104"/>
      <c r="AG134" s="104"/>
      <c r="AH134" s="104"/>
      <c r="AI134" s="104"/>
      <c r="AJ134" s="104"/>
      <c r="AK134" s="104"/>
      <c r="AL134" s="104"/>
      <c r="AM134" s="104"/>
      <c r="AN134" s="104"/>
      <c r="AO134" s="104"/>
      <c r="AP134" s="104"/>
      <c r="AQ134" s="104"/>
      <c r="AR134" s="104"/>
      <c r="AS134" s="104"/>
      <c r="AT134" s="104"/>
      <c r="AU134" s="104"/>
      <c r="AV134" s="104"/>
      <c r="AW134" s="104"/>
      <c r="AX134" s="104"/>
      <c r="AY134" s="104"/>
      <c r="AZ134" s="104"/>
      <c r="BA134" s="104"/>
      <c r="BB134" s="104"/>
      <c r="BC134" s="109"/>
      <c r="BK134" s="65"/>
    </row>
    <row r="135" spans="2:63">
      <c r="C135" s="201"/>
      <c r="D135" s="51">
        <v>1960</v>
      </c>
      <c r="E135" s="51">
        <v>1961</v>
      </c>
      <c r="F135" s="51">
        <v>1962</v>
      </c>
      <c r="G135" s="51">
        <v>1963</v>
      </c>
      <c r="H135" s="51">
        <v>1964</v>
      </c>
      <c r="I135" s="51">
        <v>1965</v>
      </c>
      <c r="J135" s="51">
        <v>1966</v>
      </c>
      <c r="K135" s="51">
        <v>1967</v>
      </c>
      <c r="L135" s="51">
        <v>1968</v>
      </c>
      <c r="M135" s="51">
        <v>1969</v>
      </c>
      <c r="N135" s="51">
        <v>1970</v>
      </c>
      <c r="O135" s="51">
        <v>1971</v>
      </c>
      <c r="P135" s="51">
        <v>1972</v>
      </c>
      <c r="Q135" s="51">
        <v>1973</v>
      </c>
      <c r="R135" s="51">
        <v>1974</v>
      </c>
      <c r="S135" s="51">
        <v>1975</v>
      </c>
      <c r="T135" s="51">
        <v>1976</v>
      </c>
      <c r="U135" s="51">
        <v>1977</v>
      </c>
      <c r="V135" s="51">
        <v>1978</v>
      </c>
      <c r="W135" s="51">
        <v>1979</v>
      </c>
      <c r="X135" s="51">
        <v>1980</v>
      </c>
      <c r="Y135" s="51">
        <v>1981</v>
      </c>
      <c r="Z135" s="51">
        <v>1982</v>
      </c>
      <c r="AA135" s="51">
        <v>1983</v>
      </c>
      <c r="AB135" s="51">
        <v>1984</v>
      </c>
      <c r="AC135" s="51">
        <v>1985</v>
      </c>
      <c r="AD135" s="51">
        <v>1986</v>
      </c>
      <c r="AE135" s="51">
        <v>1987</v>
      </c>
      <c r="AF135" s="51">
        <v>1988</v>
      </c>
      <c r="AG135" s="51">
        <v>1989</v>
      </c>
      <c r="AH135" s="51">
        <v>1990</v>
      </c>
      <c r="AI135" s="51">
        <v>1991</v>
      </c>
      <c r="AJ135" s="51">
        <v>1992</v>
      </c>
      <c r="AK135" s="51">
        <v>1993</v>
      </c>
      <c r="AL135" s="51">
        <v>1994</v>
      </c>
      <c r="AM135" s="51">
        <v>1995</v>
      </c>
      <c r="AN135" s="51">
        <v>1996</v>
      </c>
      <c r="AO135" s="51">
        <v>1997</v>
      </c>
      <c r="AP135" s="51">
        <v>1998</v>
      </c>
      <c r="AQ135" s="51">
        <v>1999</v>
      </c>
      <c r="AR135" s="51">
        <v>2000</v>
      </c>
      <c r="AS135" s="51">
        <v>2001</v>
      </c>
      <c r="AT135" s="51">
        <v>2002</v>
      </c>
      <c r="AU135" s="51">
        <v>2003</v>
      </c>
      <c r="AV135" s="51">
        <v>2004</v>
      </c>
      <c r="AW135" s="51">
        <v>2005</v>
      </c>
      <c r="AX135" s="51">
        <v>2006</v>
      </c>
      <c r="AY135" s="51">
        <v>2007</v>
      </c>
      <c r="AZ135" s="51">
        <v>2008</v>
      </c>
      <c r="BA135" s="51">
        <v>2009</v>
      </c>
      <c r="BB135" s="51">
        <v>2010</v>
      </c>
      <c r="BC135" s="51">
        <v>2011</v>
      </c>
      <c r="BD135" s="51">
        <v>2012</v>
      </c>
      <c r="BE135" s="51">
        <v>2013</v>
      </c>
      <c r="BF135" s="51">
        <v>2014</v>
      </c>
      <c r="BG135" s="51">
        <v>2015</v>
      </c>
      <c r="BH135" s="51">
        <v>2016</v>
      </c>
      <c r="BI135" s="51">
        <v>2017</v>
      </c>
      <c r="BJ135" s="51">
        <v>2018</v>
      </c>
      <c r="BK135" s="65">
        <v>2019</v>
      </c>
    </row>
    <row r="136" spans="2:63" s="51" customFormat="1">
      <c r="B136" s="51" t="s">
        <v>483</v>
      </c>
      <c r="C136" s="51" t="s">
        <v>331</v>
      </c>
      <c r="D136" s="121">
        <f>D232</f>
        <v>18.419263685956835</v>
      </c>
      <c r="E136" s="121">
        <f t="shared" ref="E136:BK136" si="37">E232</f>
        <v>18.439436885244504</v>
      </c>
      <c r="F136" s="121">
        <f t="shared" si="37"/>
        <v>18.45963217868189</v>
      </c>
      <c r="G136" s="121">
        <f t="shared" si="37"/>
        <v>18.479849590467005</v>
      </c>
      <c r="H136" s="121">
        <f t="shared" si="37"/>
        <v>18.500089144824376</v>
      </c>
      <c r="I136" s="121">
        <f t="shared" si="37"/>
        <v>18.52035086600505</v>
      </c>
      <c r="J136" s="121">
        <f t="shared" si="37"/>
        <v>18.540634778286645</v>
      </c>
      <c r="K136" s="121">
        <f t="shared" si="37"/>
        <v>18.560940905973357</v>
      </c>
      <c r="L136" s="121">
        <f t="shared" si="37"/>
        <v>18.581269273396011</v>
      </c>
      <c r="M136" s="121">
        <f t="shared" si="37"/>
        <v>18.60161990491207</v>
      </c>
      <c r="N136" s="121">
        <f t="shared" si="37"/>
        <v>18.621992824905686</v>
      </c>
      <c r="O136" s="121">
        <f t="shared" si="37"/>
        <v>18.757042674793492</v>
      </c>
      <c r="P136" s="121">
        <f t="shared" si="37"/>
        <v>18.571230594429597</v>
      </c>
      <c r="Q136" s="121">
        <f t="shared" si="37"/>
        <v>18.316606523136212</v>
      </c>
      <c r="R136" s="121">
        <f t="shared" si="37"/>
        <v>18.50194690100232</v>
      </c>
      <c r="S136" s="121">
        <f t="shared" si="37"/>
        <v>19.078681954666806</v>
      </c>
      <c r="T136" s="121">
        <f t="shared" si="37"/>
        <v>19.116247561760403</v>
      </c>
      <c r="U136" s="121">
        <f t="shared" si="37"/>
        <v>18.913312806810609</v>
      </c>
      <c r="V136" s="121">
        <f t="shared" si="37"/>
        <v>18.559742545893577</v>
      </c>
      <c r="W136" s="121">
        <f t="shared" si="37"/>
        <v>18.127460775445787</v>
      </c>
      <c r="X136" s="121">
        <f t="shared" si="37"/>
        <v>18.826953274751638</v>
      </c>
      <c r="Y136" s="121">
        <f t="shared" si="37"/>
        <v>19.666091864015687</v>
      </c>
      <c r="Z136" s="121">
        <f t="shared" si="37"/>
        <v>19.68819640511051</v>
      </c>
      <c r="AA136" s="121">
        <f t="shared" si="37"/>
        <v>19.610951801334956</v>
      </c>
      <c r="AB136" s="121">
        <f t="shared" si="37"/>
        <v>19.98379507856944</v>
      </c>
      <c r="AC136" s="121">
        <f t="shared" si="37"/>
        <v>20.286372963439387</v>
      </c>
      <c r="AD136" s="121">
        <f t="shared" si="37"/>
        <v>20.279212269510353</v>
      </c>
      <c r="AE136" s="121">
        <f t="shared" si="37"/>
        <v>20.986669424774043</v>
      </c>
      <c r="AF136" s="121">
        <f t="shared" si="37"/>
        <v>21.365157126714291</v>
      </c>
      <c r="AG136" s="121">
        <f t="shared" si="37"/>
        <v>22.463654512202812</v>
      </c>
      <c r="AH136" s="121">
        <f t="shared" si="37"/>
        <v>21.584384786190739</v>
      </c>
      <c r="AI136" s="121">
        <f t="shared" si="37"/>
        <v>21.58800320066711</v>
      </c>
      <c r="AJ136" s="121">
        <f t="shared" si="37"/>
        <v>21.241794090439988</v>
      </c>
      <c r="AK136" s="121">
        <f t="shared" si="37"/>
        <v>20.937520348552837</v>
      </c>
      <c r="AL136" s="121">
        <f t="shared" si="37"/>
        <v>21.461874233757271</v>
      </c>
      <c r="AM136" s="121">
        <f t="shared" si="37"/>
        <v>22.03645507415257</v>
      </c>
      <c r="AN136" s="121">
        <f t="shared" si="37"/>
        <v>21.627821137594371</v>
      </c>
      <c r="AO136" s="121">
        <f t="shared" si="37"/>
        <v>21.725409174488831</v>
      </c>
      <c r="AP136" s="121">
        <f t="shared" si="37"/>
        <v>22.18786910573942</v>
      </c>
      <c r="AQ136" s="121">
        <f t="shared" si="37"/>
        <v>22.122605917303186</v>
      </c>
      <c r="AR136" s="121">
        <f t="shared" si="37"/>
        <v>22.080430683179507</v>
      </c>
      <c r="AS136" s="121">
        <f t="shared" si="37"/>
        <v>22.343340472766766</v>
      </c>
      <c r="AT136" s="121">
        <f t="shared" si="37"/>
        <v>22.360749251836772</v>
      </c>
      <c r="AU136" s="121">
        <f t="shared" si="37"/>
        <v>22.601934891250128</v>
      </c>
      <c r="AV136" s="121">
        <f t="shared" si="37"/>
        <v>22.652432242956866</v>
      </c>
      <c r="AW136" s="121">
        <f t="shared" si="37"/>
        <v>22.480788868282598</v>
      </c>
      <c r="AX136" s="121">
        <f t="shared" si="37"/>
        <v>22.819434540554539</v>
      </c>
      <c r="AY136" s="121">
        <f t="shared" si="37"/>
        <v>22.722290799133809</v>
      </c>
      <c r="AZ136" s="121">
        <f t="shared" si="37"/>
        <v>23.145238960466536</v>
      </c>
      <c r="BA136" s="121">
        <f t="shared" si="37"/>
        <v>23.766039855249421</v>
      </c>
      <c r="BB136" s="121">
        <f t="shared" si="37"/>
        <v>24.19222833033977</v>
      </c>
      <c r="BC136" s="121">
        <f t="shared" si="37"/>
        <v>24.665870464460905</v>
      </c>
      <c r="BD136" s="121">
        <f t="shared" si="37"/>
        <v>24.86262354700882</v>
      </c>
      <c r="BE136" s="121">
        <f t="shared" si="37"/>
        <v>25.392045865047844</v>
      </c>
      <c r="BF136" s="121">
        <f t="shared" si="37"/>
        <v>26.005106414245706</v>
      </c>
      <c r="BG136" s="121">
        <f t="shared" si="37"/>
        <v>26.271171472158613</v>
      </c>
      <c r="BH136" s="121">
        <f t="shared" si="37"/>
        <v>26.494086039097528</v>
      </c>
      <c r="BI136" s="121">
        <f t="shared" si="37"/>
        <v>27.045090164760488</v>
      </c>
      <c r="BJ136" s="121">
        <f t="shared" si="37"/>
        <v>27.869758302924698</v>
      </c>
      <c r="BK136" s="121">
        <f t="shared" si="37"/>
        <v>0</v>
      </c>
    </row>
    <row r="137" spans="2:63" s="51" customFormat="1">
      <c r="B137" s="51" t="s">
        <v>483</v>
      </c>
      <c r="C137" s="51" t="s">
        <v>332</v>
      </c>
      <c r="D137" s="121">
        <f>D233</f>
        <v>23.023653428644913</v>
      </c>
      <c r="E137" s="121">
        <f t="shared" ref="E137:BK137" si="38">E233</f>
        <v>23.048866801743902</v>
      </c>
      <c r="F137" s="121">
        <f t="shared" si="38"/>
        <v>23.07410778619419</v>
      </c>
      <c r="G137" s="121">
        <f t="shared" si="38"/>
        <v>23.099376412233173</v>
      </c>
      <c r="H137" s="121">
        <f t="shared" si="38"/>
        <v>23.12467271013136</v>
      </c>
      <c r="I137" s="121">
        <f t="shared" si="38"/>
        <v>23.149996710192408</v>
      </c>
      <c r="J137" s="121">
        <f t="shared" si="38"/>
        <v>23.175348442753158</v>
      </c>
      <c r="K137" s="121">
        <f t="shared" si="38"/>
        <v>23.200727938183679</v>
      </c>
      <c r="L137" s="121">
        <f t="shared" si="38"/>
        <v>23.226135226887294</v>
      </c>
      <c r="M137" s="121">
        <f t="shared" si="38"/>
        <v>23.251570339300621</v>
      </c>
      <c r="N137" s="121">
        <f t="shared" si="38"/>
        <v>23.27703330589361</v>
      </c>
      <c r="O137" s="121">
        <f t="shared" si="38"/>
        <v>23.445827399166788</v>
      </c>
      <c r="P137" s="121">
        <f t="shared" si="38"/>
        <v>23.213576886480769</v>
      </c>
      <c r="Q137" s="121">
        <f t="shared" si="38"/>
        <v>22.895277748393806</v>
      </c>
      <c r="R137" s="121">
        <f t="shared" si="38"/>
        <v>23.126951155089962</v>
      </c>
      <c r="S137" s="121">
        <f t="shared" si="38"/>
        <v>23.847830206107091</v>
      </c>
      <c r="T137" s="121">
        <f t="shared" si="38"/>
        <v>23.894800766590958</v>
      </c>
      <c r="U137" s="121">
        <f t="shared" si="38"/>
        <v>23.641113381440114</v>
      </c>
      <c r="V137" s="121">
        <f t="shared" si="38"/>
        <v>23.199190856491384</v>
      </c>
      <c r="W137" s="121">
        <f t="shared" si="38"/>
        <v>22.658857228338718</v>
      </c>
      <c r="X137" s="121">
        <f t="shared" si="38"/>
        <v>23.53320167899912</v>
      </c>
      <c r="Y137" s="121">
        <f t="shared" si="38"/>
        <v>24.58208563884984</v>
      </c>
      <c r="Z137" s="121">
        <f t="shared" si="38"/>
        <v>24.609661441433154</v>
      </c>
      <c r="AA137" s="121">
        <f t="shared" si="38"/>
        <v>24.513054740000396</v>
      </c>
      <c r="AB137" s="121">
        <f t="shared" si="38"/>
        <v>24.97901025138092</v>
      </c>
      <c r="AC137" s="121">
        <f t="shared" si="38"/>
        <v>25.357121732814132</v>
      </c>
      <c r="AD137" s="121">
        <f t="shared" si="38"/>
        <v>25.348023193248896</v>
      </c>
      <c r="AE137" s="121">
        <f t="shared" si="38"/>
        <v>26.231246449596938</v>
      </c>
      <c r="AF137" s="121">
        <f t="shared" si="38"/>
        <v>26.703694550098049</v>
      </c>
      <c r="AG137" s="121">
        <f t="shared" si="38"/>
        <v>28.074114187472453</v>
      </c>
      <c r="AH137" s="121">
        <f t="shared" si="38"/>
        <v>26.967683363307607</v>
      </c>
      <c r="AI137" s="121">
        <f t="shared" si="38"/>
        <v>26.968524986053858</v>
      </c>
      <c r="AJ137" s="121">
        <f t="shared" si="38"/>
        <v>26.52744038168521</v>
      </c>
      <c r="AK137" s="121">
        <f t="shared" si="38"/>
        <v>26.132914862261472</v>
      </c>
      <c r="AL137" s="121">
        <f t="shared" si="38"/>
        <v>26.757865830239854</v>
      </c>
      <c r="AM137" s="121">
        <f t="shared" si="38"/>
        <v>27.445824823464175</v>
      </c>
      <c r="AN137" s="121">
        <f t="shared" si="38"/>
        <v>26.915784859474002</v>
      </c>
      <c r="AO137" s="121">
        <f t="shared" si="38"/>
        <v>27.016664955388904</v>
      </c>
      <c r="AP137" s="121">
        <f t="shared" si="38"/>
        <v>27.580107577062847</v>
      </c>
      <c r="AQ137" s="121">
        <f t="shared" si="38"/>
        <v>27.475852965121081</v>
      </c>
      <c r="AR137" s="121">
        <f t="shared" si="38"/>
        <v>27.406928543738633</v>
      </c>
      <c r="AS137" s="121">
        <f t="shared" si="38"/>
        <v>27.702076177656181</v>
      </c>
      <c r="AT137" s="121">
        <f t="shared" si="38"/>
        <v>27.678521517298396</v>
      </c>
      <c r="AU137" s="121">
        <f t="shared" si="38"/>
        <v>27.917490437042186</v>
      </c>
      <c r="AV137" s="121">
        <f t="shared" si="38"/>
        <v>27.919208872232772</v>
      </c>
      <c r="AW137" s="121">
        <f t="shared" si="38"/>
        <v>27.629033698981004</v>
      </c>
      <c r="AX137" s="121">
        <f t="shared" si="38"/>
        <v>27.948234587628079</v>
      </c>
      <c r="AY137" s="121">
        <f t="shared" si="38"/>
        <v>27.744044722670822</v>
      </c>
      <c r="AZ137" s="121">
        <f t="shared" si="38"/>
        <v>28.162595898816875</v>
      </c>
      <c r="BA137" s="121">
        <f t="shared" si="38"/>
        <v>28.838926873085846</v>
      </c>
      <c r="BB137" s="121">
        <f t="shared" si="38"/>
        <v>29.24103506897216</v>
      </c>
      <c r="BC137" s="121">
        <f t="shared" si="38"/>
        <v>29.68455452175688</v>
      </c>
      <c r="BD137" s="121">
        <f t="shared" si="38"/>
        <v>29.77611426826914</v>
      </c>
      <c r="BE137" s="121">
        <f t="shared" si="38"/>
        <v>30.292388397400547</v>
      </c>
      <c r="BF137" s="121">
        <f t="shared" si="38"/>
        <v>30.93536983574451</v>
      </c>
      <c r="BG137" s="121">
        <f t="shared" si="38"/>
        <v>31.149545333250433</v>
      </c>
      <c r="BH137" s="121">
        <f t="shared" si="38"/>
        <v>31.32276499311125</v>
      </c>
      <c r="BI137" s="121">
        <f t="shared" si="38"/>
        <v>31.926737982978775</v>
      </c>
      <c r="BJ137" s="121">
        <f t="shared" si="38"/>
        <v>32.89906069213837</v>
      </c>
      <c r="BK137" s="121">
        <f t="shared" si="38"/>
        <v>0</v>
      </c>
    </row>
    <row r="138" spans="2:63" s="51" customFormat="1">
      <c r="C138" s="51" t="str">
        <f>C244</f>
        <v>Light vehicles gasoline - mpgUK</v>
      </c>
      <c r="D138" s="121">
        <f>D244</f>
        <v>13.198187025887085</v>
      </c>
      <c r="E138" s="121">
        <f t="shared" ref="E138:BK138" si="39">E244</f>
        <v>13.286884804063495</v>
      </c>
      <c r="F138" s="121">
        <f t="shared" si="39"/>
        <v>13.376178671372299</v>
      </c>
      <c r="G138" s="121">
        <f t="shared" si="39"/>
        <v>13.466072633801708</v>
      </c>
      <c r="H138" s="121">
        <f t="shared" si="39"/>
        <v>13.556570724261984</v>
      </c>
      <c r="I138" s="121">
        <f t="shared" si="39"/>
        <v>13.647677002766368</v>
      </c>
      <c r="J138" s="121">
        <f t="shared" si="39"/>
        <v>13.739395556613223</v>
      </c>
      <c r="K138" s="121">
        <f t="shared" si="39"/>
        <v>13.831730500569401</v>
      </c>
      <c r="L138" s="121">
        <f t="shared" si="39"/>
        <v>13.92468597705485</v>
      </c>
      <c r="M138" s="121">
        <f t="shared" si="39"/>
        <v>14.018266156328448</v>
      </c>
      <c r="N138" s="121">
        <f t="shared" si="39"/>
        <v>14.112475236675097</v>
      </c>
      <c r="O138" s="121">
        <f t="shared" si="39"/>
        <v>14.315515959698503</v>
      </c>
      <c r="P138" s="121">
        <f t="shared" si="39"/>
        <v>14.361285304437729</v>
      </c>
      <c r="Q138" s="121">
        <f t="shared" si="39"/>
        <v>14.237548770846731</v>
      </c>
      <c r="R138" s="121">
        <f t="shared" si="39"/>
        <v>14.334215424197868</v>
      </c>
      <c r="S138" s="121">
        <f t="shared" si="39"/>
        <v>14.798855866002407</v>
      </c>
      <c r="T138" s="121">
        <f t="shared" si="39"/>
        <v>14.913976917758454</v>
      </c>
      <c r="U138" s="121">
        <f t="shared" si="39"/>
        <v>14.748281948232068</v>
      </c>
      <c r="V138" s="121">
        <f t="shared" si="39"/>
        <v>14.708301218711632</v>
      </c>
      <c r="W138" s="121">
        <f t="shared" si="39"/>
        <v>14.443147000556786</v>
      </c>
      <c r="X138" s="121">
        <f t="shared" si="39"/>
        <v>15.090099641346885</v>
      </c>
      <c r="Y138" s="121">
        <f t="shared" si="39"/>
        <v>15.694906861936628</v>
      </c>
      <c r="Z138" s="121">
        <f t="shared" si="39"/>
        <v>15.59682747056312</v>
      </c>
      <c r="AA138" s="121">
        <f t="shared" si="39"/>
        <v>15.438073381277212</v>
      </c>
      <c r="AB138" s="121">
        <f t="shared" si="39"/>
        <v>15.469937491935877</v>
      </c>
      <c r="AC138" s="121">
        <f t="shared" si="39"/>
        <v>15.708593462986421</v>
      </c>
      <c r="AD138" s="121">
        <f t="shared" si="39"/>
        <v>15.31775218847967</v>
      </c>
      <c r="AE138" s="121">
        <f t="shared" si="39"/>
        <v>15.837323771667965</v>
      </c>
      <c r="AF138" s="121">
        <f t="shared" si="39"/>
        <v>15.924200498184033</v>
      </c>
      <c r="AG138" s="121">
        <f t="shared" si="39"/>
        <v>14.166359141912137</v>
      </c>
      <c r="AH138" s="121">
        <f t="shared" si="39"/>
        <v>14.605803456492563</v>
      </c>
      <c r="AI138" s="121">
        <f t="shared" si="39"/>
        <v>14.618602570493724</v>
      </c>
      <c r="AJ138" s="121">
        <f t="shared" si="39"/>
        <v>14.142460366905471</v>
      </c>
      <c r="AK138" s="121">
        <f t="shared" si="39"/>
        <v>13.882713594290852</v>
      </c>
      <c r="AL138" s="121">
        <f t="shared" si="39"/>
        <v>13.703522988505425</v>
      </c>
      <c r="AM138" s="121">
        <f t="shared" si="39"/>
        <v>13.952614287011185</v>
      </c>
      <c r="AN138" s="121">
        <f t="shared" si="39"/>
        <v>13.66022325738434</v>
      </c>
      <c r="AO138" s="121">
        <f t="shared" si="39"/>
        <v>13.676300720657535</v>
      </c>
      <c r="AP138" s="121">
        <f t="shared" si="39"/>
        <v>13.987354984454594</v>
      </c>
      <c r="AQ138" s="121">
        <f t="shared" si="39"/>
        <v>14.126268053156576</v>
      </c>
      <c r="AR138" s="121">
        <f t="shared" si="39"/>
        <v>14.174272921831802</v>
      </c>
      <c r="AS138" s="121">
        <f t="shared" si="39"/>
        <v>14.413515403496298</v>
      </c>
      <c r="AT138" s="121">
        <f t="shared" si="39"/>
        <v>14.468901024841088</v>
      </c>
      <c r="AU138" s="121">
        <f t="shared" si="39"/>
        <v>14.68379556860242</v>
      </c>
      <c r="AV138" s="121">
        <f t="shared" si="39"/>
        <v>14.883329466058466</v>
      </c>
      <c r="AW138" s="121">
        <f t="shared" si="39"/>
        <v>14.816595137644356</v>
      </c>
      <c r="AX138" s="121">
        <f t="shared" si="39"/>
        <v>14.990615352739463</v>
      </c>
      <c r="AY138" s="121">
        <f t="shared" si="39"/>
        <v>15.159862825921262</v>
      </c>
      <c r="AZ138" s="121">
        <f t="shared" si="39"/>
        <v>15.846034587106846</v>
      </c>
      <c r="BA138" s="121">
        <f t="shared" si="39"/>
        <v>15.69796449321025</v>
      </c>
      <c r="BB138" s="121">
        <f t="shared" si="39"/>
        <v>15.612769671806783</v>
      </c>
      <c r="BC138" s="121">
        <f t="shared" si="39"/>
        <v>15.728129725145047</v>
      </c>
      <c r="BD138" s="121">
        <f t="shared" si="39"/>
        <v>15.611579186609092</v>
      </c>
      <c r="BE138" s="121">
        <f t="shared" si="39"/>
        <v>15.985449064033896</v>
      </c>
      <c r="BF138" s="121">
        <f t="shared" si="39"/>
        <v>16.28501450295326</v>
      </c>
      <c r="BG138" s="121">
        <f t="shared" si="39"/>
        <v>16.272871899014341</v>
      </c>
      <c r="BH138" s="121">
        <f t="shared" si="39"/>
        <v>16.182980019883235</v>
      </c>
      <c r="BI138" s="121">
        <f t="shared" si="39"/>
        <v>16.514346628543581</v>
      </c>
      <c r="BJ138" s="121">
        <f t="shared" si="39"/>
        <v>16.886700607716126</v>
      </c>
      <c r="BK138" s="121">
        <f t="shared" si="39"/>
        <v>0</v>
      </c>
    </row>
    <row r="139" spans="2:63" s="51" customFormat="1">
      <c r="C139" s="51" t="str">
        <f>C245</f>
        <v>Light vehicles diesel - mpgUK</v>
      </c>
      <c r="D139" s="121">
        <f>D245</f>
        <v>16.49773378235885</v>
      </c>
      <c r="E139" s="121">
        <f t="shared" ref="E139:BK139" si="40">E245</f>
        <v>16.608606005079363</v>
      </c>
      <c r="F139" s="121">
        <f t="shared" si="40"/>
        <v>16.720223339215369</v>
      </c>
      <c r="G139" s="121">
        <f t="shared" si="40"/>
        <v>16.83259079225213</v>
      </c>
      <c r="H139" s="121">
        <f t="shared" si="40"/>
        <v>16.945713405327474</v>
      </c>
      <c r="I139" s="121">
        <f t="shared" si="40"/>
        <v>17.059596253457954</v>
      </c>
      <c r="J139" s="121">
        <f t="shared" si="40"/>
        <v>17.174244445766522</v>
      </c>
      <c r="K139" s="121">
        <f t="shared" si="40"/>
        <v>17.289663125711744</v>
      </c>
      <c r="L139" s="121">
        <f t="shared" si="40"/>
        <v>17.405857471318555</v>
      </c>
      <c r="M139" s="121">
        <f t="shared" si="40"/>
        <v>17.522832695410553</v>
      </c>
      <c r="N139" s="121">
        <f t="shared" si="40"/>
        <v>17.640594045843866</v>
      </c>
      <c r="O139" s="121">
        <f t="shared" si="40"/>
        <v>17.894394949623134</v>
      </c>
      <c r="P139" s="121">
        <f t="shared" si="40"/>
        <v>17.951606630547165</v>
      </c>
      <c r="Q139" s="121">
        <f t="shared" si="40"/>
        <v>17.796935963558415</v>
      </c>
      <c r="R139" s="121">
        <f t="shared" si="40"/>
        <v>17.917769280247338</v>
      </c>
      <c r="S139" s="121">
        <f t="shared" si="40"/>
        <v>18.498569832503012</v>
      </c>
      <c r="T139" s="121">
        <f t="shared" si="40"/>
        <v>18.642471147198066</v>
      </c>
      <c r="U139" s="121">
        <f t="shared" si="40"/>
        <v>18.435352435290078</v>
      </c>
      <c r="V139" s="121">
        <f t="shared" si="40"/>
        <v>18.385376523389539</v>
      </c>
      <c r="W139" s="121">
        <f t="shared" si="40"/>
        <v>18.053933750695982</v>
      </c>
      <c r="X139" s="121">
        <f t="shared" si="40"/>
        <v>18.862624551683606</v>
      </c>
      <c r="Y139" s="121">
        <f t="shared" si="40"/>
        <v>19.618633577420788</v>
      </c>
      <c r="Z139" s="121">
        <f t="shared" si="40"/>
        <v>19.496034338203906</v>
      </c>
      <c r="AA139" s="121">
        <f t="shared" si="40"/>
        <v>19.297591726596512</v>
      </c>
      <c r="AB139" s="121">
        <f t="shared" si="40"/>
        <v>19.337421864919847</v>
      </c>
      <c r="AC139" s="121">
        <f t="shared" si="40"/>
        <v>19.635741828733028</v>
      </c>
      <c r="AD139" s="121">
        <f t="shared" si="40"/>
        <v>19.147190235599584</v>
      </c>
      <c r="AE139" s="121">
        <f t="shared" si="40"/>
        <v>19.79665471458495</v>
      </c>
      <c r="AF139" s="121">
        <f t="shared" si="40"/>
        <v>19.905250622730037</v>
      </c>
      <c r="AG139" s="121">
        <f t="shared" si="40"/>
        <v>17.707948927390181</v>
      </c>
      <c r="AH139" s="121">
        <f t="shared" si="40"/>
        <v>18.257254320615697</v>
      </c>
      <c r="AI139" s="121">
        <f t="shared" si="40"/>
        <v>18.273253213117158</v>
      </c>
      <c r="AJ139" s="121">
        <f t="shared" si="40"/>
        <v>17.678075458631842</v>
      </c>
      <c r="AK139" s="121">
        <f t="shared" si="40"/>
        <v>17.353391992863564</v>
      </c>
      <c r="AL139" s="121">
        <f t="shared" si="40"/>
        <v>17.129403735631783</v>
      </c>
      <c r="AM139" s="121">
        <f t="shared" si="40"/>
        <v>17.440767858763987</v>
      </c>
      <c r="AN139" s="121">
        <f t="shared" si="40"/>
        <v>17.075279071730428</v>
      </c>
      <c r="AO139" s="121">
        <f t="shared" si="40"/>
        <v>17.095375900821924</v>
      </c>
      <c r="AP139" s="121">
        <f t="shared" si="40"/>
        <v>17.484193730568236</v>
      </c>
      <c r="AQ139" s="121">
        <f t="shared" si="40"/>
        <v>17.65783506644572</v>
      </c>
      <c r="AR139" s="121">
        <f t="shared" si="40"/>
        <v>17.717841152289754</v>
      </c>
      <c r="AS139" s="121">
        <f t="shared" si="40"/>
        <v>18.016894254370371</v>
      </c>
      <c r="AT139" s="121">
        <f t="shared" si="40"/>
        <v>18.086126281051371</v>
      </c>
      <c r="AU139" s="121">
        <f t="shared" si="40"/>
        <v>18.354744460753025</v>
      </c>
      <c r="AV139" s="121">
        <f t="shared" si="40"/>
        <v>18.604161832573084</v>
      </c>
      <c r="AW139" s="121">
        <f t="shared" si="40"/>
        <v>18.520743922055434</v>
      </c>
      <c r="AX139" s="121">
        <f t="shared" si="40"/>
        <v>18.738269190924321</v>
      </c>
      <c r="AY139" s="121">
        <f t="shared" si="40"/>
        <v>18.949828532401575</v>
      </c>
      <c r="AZ139" s="121">
        <f t="shared" si="40"/>
        <v>19.807543233883564</v>
      </c>
      <c r="BA139" s="121">
        <f t="shared" si="40"/>
        <v>19.622455616512809</v>
      </c>
      <c r="BB139" s="121">
        <f t="shared" si="40"/>
        <v>19.515962089758471</v>
      </c>
      <c r="BC139" s="121">
        <f t="shared" si="40"/>
        <v>19.660162156431308</v>
      </c>
      <c r="BD139" s="121">
        <f t="shared" si="40"/>
        <v>19.514473983261365</v>
      </c>
      <c r="BE139" s="121">
        <f t="shared" si="40"/>
        <v>19.981811330042369</v>
      </c>
      <c r="BF139" s="121">
        <f t="shared" si="40"/>
        <v>20.356268128691578</v>
      </c>
      <c r="BG139" s="121">
        <f t="shared" si="40"/>
        <v>20.341089873767928</v>
      </c>
      <c r="BH139" s="121">
        <f t="shared" si="40"/>
        <v>20.228725024854047</v>
      </c>
      <c r="BI139" s="121">
        <f t="shared" si="40"/>
        <v>20.642933285679476</v>
      </c>
      <c r="BJ139" s="121">
        <f t="shared" si="40"/>
        <v>21.108375759645153</v>
      </c>
      <c r="BK139" s="121">
        <f t="shared" si="40"/>
        <v>0</v>
      </c>
    </row>
    <row r="140" spans="2:63" s="51" customFormat="1">
      <c r="C140" s="51" t="s">
        <v>500</v>
      </c>
      <c r="D140" s="121">
        <f>D256</f>
        <v>17.588036033599646</v>
      </c>
      <c r="E140" s="121">
        <f t="shared" ref="E140:BK140" si="41">E256</f>
        <v>17.624697118955932</v>
      </c>
      <c r="F140" s="121">
        <f t="shared" si="41"/>
        <v>17.661434621893857</v>
      </c>
      <c r="G140" s="121">
        <f t="shared" si="41"/>
        <v>17.698248701700763</v>
      </c>
      <c r="H140" s="121">
        <f t="shared" si="41"/>
        <v>17.735139517996014</v>
      </c>
      <c r="I140" s="121">
        <f t="shared" si="41"/>
        <v>17.772107230731692</v>
      </c>
      <c r="J140" s="121">
        <f t="shared" si="41"/>
        <v>17.809152000193286</v>
      </c>
      <c r="K140" s="121">
        <f t="shared" si="41"/>
        <v>17.846273987000387</v>
      </c>
      <c r="L140" s="121">
        <f t="shared" si="41"/>
        <v>17.883473352107394</v>
      </c>
      <c r="M140" s="121">
        <f t="shared" si="41"/>
        <v>17.920750256804197</v>
      </c>
      <c r="N140" s="121">
        <f t="shared" si="41"/>
        <v>17.95810486271689</v>
      </c>
      <c r="O140" s="121">
        <f t="shared" si="41"/>
        <v>18.11638653689927</v>
      </c>
      <c r="P140" s="121">
        <f t="shared" si="41"/>
        <v>17.977125886429569</v>
      </c>
      <c r="Q140" s="121">
        <f t="shared" si="41"/>
        <v>17.744343373324352</v>
      </c>
      <c r="R140" s="121">
        <f t="shared" si="41"/>
        <v>17.897302590387522</v>
      </c>
      <c r="S140" s="121">
        <f t="shared" si="41"/>
        <v>18.466714062780319</v>
      </c>
      <c r="T140" s="121">
        <f t="shared" si="41"/>
        <v>18.528816006478078</v>
      </c>
      <c r="U140" s="121">
        <f t="shared" si="41"/>
        <v>18.333843917853613</v>
      </c>
      <c r="V140" s="121">
        <f t="shared" si="41"/>
        <v>18.035786207524595</v>
      </c>
      <c r="W140" s="121">
        <f t="shared" si="41"/>
        <v>17.629257545091612</v>
      </c>
      <c r="X140" s="121">
        <f t="shared" si="41"/>
        <v>18.335960288246753</v>
      </c>
      <c r="Y140" s="121">
        <f t="shared" si="41"/>
        <v>19.148951261626902</v>
      </c>
      <c r="Z140" s="121">
        <f t="shared" si="41"/>
        <v>19.170672507681616</v>
      </c>
      <c r="AA140" s="121">
        <f t="shared" si="41"/>
        <v>19.088286989211319</v>
      </c>
      <c r="AB140" s="121">
        <f t="shared" si="41"/>
        <v>19.409804179562531</v>
      </c>
      <c r="AC140" s="121">
        <f t="shared" si="41"/>
        <v>19.697548066184755</v>
      </c>
      <c r="AD140" s="121">
        <f t="shared" si="41"/>
        <v>19.632631572063147</v>
      </c>
      <c r="AE140" s="121">
        <f t="shared" si="41"/>
        <v>20.306868791529876</v>
      </c>
      <c r="AF140" s="121">
        <f t="shared" si="41"/>
        <v>20.618814767754994</v>
      </c>
      <c r="AG140" s="121">
        <f t="shared" si="41"/>
        <v>21.138226729842906</v>
      </c>
      <c r="AH140" s="121">
        <f t="shared" si="41"/>
        <v>20.543407259579851</v>
      </c>
      <c r="AI140" s="121">
        <f t="shared" si="41"/>
        <v>20.508759425836718</v>
      </c>
      <c r="AJ140" s="121">
        <f t="shared" si="41"/>
        <v>20.145995989214548</v>
      </c>
      <c r="AK140" s="121">
        <f t="shared" si="41"/>
        <v>19.839742810357606</v>
      </c>
      <c r="AL140" s="121">
        <f t="shared" si="41"/>
        <v>20.196316929795113</v>
      </c>
      <c r="AM140" s="121">
        <f t="shared" si="41"/>
        <v>20.698868763323947</v>
      </c>
      <c r="AN140" s="121">
        <f t="shared" si="41"/>
        <v>20.297211587924227</v>
      </c>
      <c r="AO140" s="121">
        <f t="shared" si="41"/>
        <v>20.340919447128574</v>
      </c>
      <c r="AP140" s="121">
        <f t="shared" si="41"/>
        <v>20.742705514042935</v>
      </c>
      <c r="AQ140" s="121">
        <f t="shared" si="41"/>
        <v>20.734493372389672</v>
      </c>
      <c r="AR140" s="121">
        <f t="shared" si="41"/>
        <v>20.702001257232961</v>
      </c>
      <c r="AS140" s="121">
        <f t="shared" si="41"/>
        <v>20.958494609693322</v>
      </c>
      <c r="AT140" s="121">
        <f t="shared" si="41"/>
        <v>20.992647268976828</v>
      </c>
      <c r="AU140" s="121">
        <f t="shared" si="41"/>
        <v>21.184583216537135</v>
      </c>
      <c r="AV140" s="121">
        <f t="shared" si="41"/>
        <v>21.243750014369422</v>
      </c>
      <c r="AW140" s="121">
        <f t="shared" si="41"/>
        <v>21.071681343359494</v>
      </c>
      <c r="AX140" s="121">
        <f t="shared" si="41"/>
        <v>21.358933605838764</v>
      </c>
      <c r="AY140" s="121">
        <f t="shared" si="41"/>
        <v>21.290766005126944</v>
      </c>
      <c r="AZ140" s="121">
        <f t="shared" si="41"/>
        <v>21.81166000786979</v>
      </c>
      <c r="BA140" s="121">
        <f t="shared" si="41"/>
        <v>22.274587821717983</v>
      </c>
      <c r="BB140" s="121">
        <f t="shared" si="41"/>
        <v>22.550106878809494</v>
      </c>
      <c r="BC140" s="121">
        <f t="shared" si="41"/>
        <v>22.949275318893516</v>
      </c>
      <c r="BD140" s="121">
        <f t="shared" si="41"/>
        <v>23.082251773165044</v>
      </c>
      <c r="BE140" s="121">
        <f t="shared" si="41"/>
        <v>23.55857256529524</v>
      </c>
      <c r="BF140" s="121">
        <f t="shared" si="41"/>
        <v>24.063218058180382</v>
      </c>
      <c r="BG140" s="121">
        <f t="shared" si="41"/>
        <v>24.221166313441127</v>
      </c>
      <c r="BH140" s="121">
        <f t="shared" si="41"/>
        <v>24.310046237342778</v>
      </c>
      <c r="BI140" s="121">
        <f t="shared" si="41"/>
        <v>24.799771175915922</v>
      </c>
      <c r="BJ140" s="121">
        <f t="shared" si="41"/>
        <v>25.498151536182831</v>
      </c>
      <c r="BK140" s="121">
        <f t="shared" si="41"/>
        <v>0</v>
      </c>
    </row>
    <row r="141" spans="2:63" s="51" customFormat="1">
      <c r="C141" s="51" t="s">
        <v>501</v>
      </c>
      <c r="D141" s="121">
        <f>D257</f>
        <v>21.984638095867581</v>
      </c>
      <c r="E141" s="121">
        <f t="shared" ref="E141:BK141" si="42">E257</f>
        <v>22.030461062559088</v>
      </c>
      <c r="F141" s="121">
        <f t="shared" si="42"/>
        <v>22.076379538863591</v>
      </c>
      <c r="G141" s="121">
        <f t="shared" si="42"/>
        <v>22.122393723853452</v>
      </c>
      <c r="H141" s="121">
        <f t="shared" si="42"/>
        <v>22.168503817015964</v>
      </c>
      <c r="I141" s="121">
        <f t="shared" si="42"/>
        <v>22.214710018254209</v>
      </c>
      <c r="J141" s="121">
        <f t="shared" si="42"/>
        <v>22.261012527887935</v>
      </c>
      <c r="K141" s="121">
        <f t="shared" si="42"/>
        <v>22.307411546654425</v>
      </c>
      <c r="L141" s="121">
        <f t="shared" si="42"/>
        <v>22.35390727570935</v>
      </c>
      <c r="M141" s="121">
        <f t="shared" si="42"/>
        <v>22.400499916627663</v>
      </c>
      <c r="N141" s="121">
        <f t="shared" si="42"/>
        <v>22.447189671404463</v>
      </c>
      <c r="O141" s="121">
        <f t="shared" si="42"/>
        <v>22.645023482914574</v>
      </c>
      <c r="P141" s="121">
        <f t="shared" si="42"/>
        <v>22.470960760551254</v>
      </c>
      <c r="Q141" s="121">
        <f t="shared" si="42"/>
        <v>22.179963820370983</v>
      </c>
      <c r="R141" s="121">
        <f t="shared" si="42"/>
        <v>22.371161533996947</v>
      </c>
      <c r="S141" s="121">
        <f t="shared" si="42"/>
        <v>23.082887092532705</v>
      </c>
      <c r="T141" s="121">
        <f t="shared" si="42"/>
        <v>23.160526954111237</v>
      </c>
      <c r="U141" s="121">
        <f t="shared" si="42"/>
        <v>22.91679343576056</v>
      </c>
      <c r="V141" s="121">
        <f t="shared" si="42"/>
        <v>22.544259191128404</v>
      </c>
      <c r="W141" s="121">
        <f t="shared" si="42"/>
        <v>22.036116072965022</v>
      </c>
      <c r="X141" s="121">
        <f t="shared" si="42"/>
        <v>22.919473222473478</v>
      </c>
      <c r="Y141" s="121">
        <f t="shared" si="42"/>
        <v>23.935673801503139</v>
      </c>
      <c r="Z141" s="121">
        <f t="shared" si="42"/>
        <v>23.962771922377456</v>
      </c>
      <c r="AA141" s="121">
        <f t="shared" si="42"/>
        <v>23.859740648973631</v>
      </c>
      <c r="AB141" s="121">
        <f t="shared" si="42"/>
        <v>24.261542698590176</v>
      </c>
      <c r="AC141" s="121">
        <f t="shared" si="42"/>
        <v>24.621115122568618</v>
      </c>
      <c r="AD141" s="121">
        <f t="shared" si="42"/>
        <v>24.539828954864181</v>
      </c>
      <c r="AE141" s="121">
        <f t="shared" si="42"/>
        <v>25.381563368099044</v>
      </c>
      <c r="AF141" s="121">
        <f t="shared" si="42"/>
        <v>25.770862731205</v>
      </c>
      <c r="AG141" s="121">
        <f t="shared" si="42"/>
        <v>26.417651260257891</v>
      </c>
      <c r="AH141" s="121">
        <f t="shared" si="42"/>
        <v>25.66707866208295</v>
      </c>
      <c r="AI141" s="121">
        <f t="shared" si="42"/>
        <v>25.62029409887958</v>
      </c>
      <c r="AJ141" s="121">
        <f t="shared" si="42"/>
        <v>25.158972225141675</v>
      </c>
      <c r="AK141" s="121">
        <f t="shared" si="42"/>
        <v>24.762736996603081</v>
      </c>
      <c r="AL141" s="121">
        <f t="shared" si="42"/>
        <v>25.180016096751267</v>
      </c>
      <c r="AM141" s="121">
        <f t="shared" si="42"/>
        <v>25.779896276892913</v>
      </c>
      <c r="AN141" s="121">
        <f t="shared" si="42"/>
        <v>25.259843646393172</v>
      </c>
      <c r="AO141" s="121">
        <f t="shared" si="42"/>
        <v>25.294980691683893</v>
      </c>
      <c r="AP141" s="121">
        <f t="shared" si="42"/>
        <v>25.783731046468777</v>
      </c>
      <c r="AQ141" s="121">
        <f t="shared" si="42"/>
        <v>25.751843762694651</v>
      </c>
      <c r="AR141" s="121">
        <f t="shared" si="42"/>
        <v>25.695978367015744</v>
      </c>
      <c r="AS141" s="121">
        <f t="shared" si="42"/>
        <v>25.985094527578763</v>
      </c>
      <c r="AT141" s="121">
        <f t="shared" si="42"/>
        <v>25.985061260489818</v>
      </c>
      <c r="AU141" s="121">
        <f t="shared" si="42"/>
        <v>26.166803957538875</v>
      </c>
      <c r="AV141" s="121">
        <f t="shared" si="42"/>
        <v>26.183002669176428</v>
      </c>
      <c r="AW141" s="121">
        <f t="shared" si="42"/>
        <v>25.897231513581872</v>
      </c>
      <c r="AX141" s="121">
        <f t="shared" si="42"/>
        <v>26.159477610922789</v>
      </c>
      <c r="AY141" s="121">
        <f t="shared" si="42"/>
        <v>25.996144906686911</v>
      </c>
      <c r="AZ141" s="121">
        <f t="shared" si="42"/>
        <v>26.539927616787072</v>
      </c>
      <c r="BA141" s="121">
        <f t="shared" si="42"/>
        <v>27.029122783229123</v>
      </c>
      <c r="BB141" s="121">
        <f t="shared" si="42"/>
        <v>27.256210426279388</v>
      </c>
      <c r="BC141" s="121">
        <f t="shared" si="42"/>
        <v>27.618689371617648</v>
      </c>
      <c r="BD141" s="121">
        <f t="shared" si="42"/>
        <v>27.643895466912948</v>
      </c>
      <c r="BE141" s="121">
        <f t="shared" si="42"/>
        <v>28.105078024398242</v>
      </c>
      <c r="BF141" s="121">
        <f t="shared" si="42"/>
        <v>28.625322204418605</v>
      </c>
      <c r="BG141" s="121">
        <f t="shared" si="42"/>
        <v>28.718868471636522</v>
      </c>
      <c r="BH141" s="121">
        <f t="shared" si="42"/>
        <v>28.740673074748337</v>
      </c>
      <c r="BI141" s="121">
        <f t="shared" si="42"/>
        <v>29.276138165846227</v>
      </c>
      <c r="BJ141" s="121">
        <f t="shared" si="42"/>
        <v>30.099480081898946</v>
      </c>
      <c r="BK141" s="121">
        <f t="shared" si="42"/>
        <v>0</v>
      </c>
    </row>
    <row r="142" spans="2:63" s="51" customFormat="1">
      <c r="H142" s="104"/>
      <c r="I142" s="104"/>
      <c r="J142" s="104"/>
      <c r="K142" s="104"/>
      <c r="L142" s="104"/>
      <c r="M142" s="104"/>
      <c r="N142" s="104"/>
      <c r="O142" s="104"/>
      <c r="P142" s="104"/>
      <c r="Q142" s="104"/>
      <c r="R142" s="104"/>
      <c r="S142" s="104"/>
      <c r="T142" s="104"/>
      <c r="U142" s="104"/>
      <c r="V142" s="104"/>
      <c r="W142" s="104"/>
      <c r="X142" s="104"/>
      <c r="Y142" s="104"/>
      <c r="Z142" s="104"/>
      <c r="AA142" s="104"/>
      <c r="AB142" s="104"/>
      <c r="AC142" s="104"/>
      <c r="AD142" s="104"/>
      <c r="AE142" s="104"/>
      <c r="AF142" s="104"/>
      <c r="AG142" s="104"/>
      <c r="AH142" s="104"/>
      <c r="AI142" s="104"/>
      <c r="AJ142" s="104"/>
      <c r="AK142" s="104"/>
      <c r="AL142" s="104"/>
      <c r="AM142" s="104"/>
      <c r="AN142" s="104"/>
      <c r="AO142" s="104"/>
      <c r="AP142" s="104"/>
      <c r="AQ142" s="104"/>
      <c r="AR142" s="104"/>
      <c r="AS142" s="104"/>
      <c r="AT142" s="104"/>
      <c r="AU142" s="104"/>
      <c r="AV142" s="104"/>
      <c r="AW142" s="104"/>
      <c r="AX142" s="104"/>
      <c r="AY142" s="104"/>
      <c r="AZ142" s="104"/>
      <c r="BA142" s="104"/>
      <c r="BB142" s="104"/>
      <c r="BC142" s="109"/>
      <c r="BK142" s="65"/>
    </row>
    <row r="143" spans="2:63" s="51" customFormat="1">
      <c r="H143" s="104"/>
      <c r="I143" s="104"/>
      <c r="J143" s="104"/>
      <c r="K143" s="104"/>
      <c r="L143" s="104"/>
      <c r="M143" s="104"/>
      <c r="N143" s="104"/>
      <c r="O143" s="104"/>
      <c r="P143" s="104"/>
      <c r="Q143" s="104"/>
      <c r="R143" s="104"/>
      <c r="S143" s="104"/>
      <c r="T143" s="104"/>
      <c r="U143" s="104"/>
      <c r="V143" s="104"/>
      <c r="W143" s="104"/>
      <c r="X143" s="104"/>
      <c r="Y143" s="104"/>
      <c r="Z143" s="104"/>
      <c r="AA143" s="104"/>
      <c r="AB143" s="104"/>
      <c r="AC143" s="104"/>
      <c r="AD143" s="104"/>
      <c r="AE143" s="104"/>
      <c r="AF143" s="104"/>
      <c r="AG143" s="104"/>
      <c r="AH143" s="104"/>
      <c r="AI143" s="104"/>
      <c r="AJ143" s="104"/>
      <c r="AK143" s="104"/>
      <c r="AL143" s="104"/>
      <c r="AM143" s="104"/>
      <c r="AN143" s="104"/>
      <c r="AO143" s="104"/>
      <c r="AP143" s="104"/>
      <c r="AQ143" s="104"/>
      <c r="AR143" s="104"/>
      <c r="AS143" s="104"/>
      <c r="AT143" s="104"/>
      <c r="AU143" s="104"/>
      <c r="AV143" s="104"/>
      <c r="AW143" s="104"/>
      <c r="AX143" s="104"/>
      <c r="AY143" s="104"/>
      <c r="AZ143" s="104"/>
      <c r="BA143" s="104"/>
      <c r="BB143" s="104"/>
      <c r="BC143" s="109"/>
      <c r="BK143" s="65"/>
    </row>
    <row r="144" spans="2:63" s="51" customFormat="1">
      <c r="H144" s="104"/>
      <c r="I144" s="104"/>
      <c r="J144" s="104"/>
      <c r="K144" s="104"/>
      <c r="L144" s="104"/>
      <c r="M144" s="104"/>
      <c r="N144" s="104"/>
      <c r="O144" s="104"/>
      <c r="P144" s="104"/>
      <c r="Q144" s="104"/>
      <c r="R144" s="104"/>
      <c r="S144" s="104"/>
      <c r="T144" s="104"/>
      <c r="U144" s="104"/>
      <c r="V144" s="104"/>
      <c r="W144" s="104"/>
      <c r="X144" s="104"/>
      <c r="Y144" s="104"/>
      <c r="Z144" s="104"/>
      <c r="AA144" s="104"/>
      <c r="AB144" s="104"/>
      <c r="AC144" s="104"/>
      <c r="AD144" s="104"/>
      <c r="AE144" s="104"/>
      <c r="AF144" s="104"/>
      <c r="AG144" s="104"/>
      <c r="AH144" s="104"/>
      <c r="AI144" s="104"/>
      <c r="AJ144" s="104"/>
      <c r="AK144" s="104"/>
      <c r="AL144" s="104"/>
      <c r="AM144" s="104"/>
      <c r="AN144" s="104"/>
      <c r="AO144" s="104"/>
      <c r="AP144" s="104"/>
      <c r="AQ144" s="104"/>
      <c r="AR144" s="104"/>
      <c r="AS144" s="104"/>
      <c r="AT144" s="104"/>
      <c r="AU144" s="104"/>
      <c r="AV144" s="104"/>
      <c r="AW144" s="104"/>
      <c r="AX144" s="104"/>
      <c r="AY144" s="104"/>
      <c r="AZ144" s="104"/>
      <c r="BA144" s="104"/>
      <c r="BB144" s="104"/>
      <c r="BC144" s="109"/>
      <c r="BK144" s="65"/>
    </row>
    <row r="145" spans="1:63">
      <c r="C145" s="201"/>
      <c r="D145" s="51">
        <v>1960</v>
      </c>
      <c r="E145" s="51">
        <v>1961</v>
      </c>
      <c r="F145" s="51">
        <v>1962</v>
      </c>
      <c r="G145" s="51">
        <v>1963</v>
      </c>
      <c r="H145" s="51">
        <v>1964</v>
      </c>
      <c r="I145" s="51">
        <v>1965</v>
      </c>
      <c r="J145" s="51">
        <v>1966</v>
      </c>
      <c r="K145" s="51">
        <v>1967</v>
      </c>
      <c r="L145" s="51">
        <v>1968</v>
      </c>
      <c r="M145" s="51">
        <v>1969</v>
      </c>
      <c r="N145" s="51">
        <v>1970</v>
      </c>
      <c r="O145" s="51">
        <v>1971</v>
      </c>
      <c r="P145" s="51">
        <v>1972</v>
      </c>
      <c r="Q145" s="51">
        <v>1973</v>
      </c>
      <c r="R145" s="51">
        <v>1974</v>
      </c>
      <c r="S145" s="51">
        <v>1975</v>
      </c>
      <c r="T145" s="51">
        <v>1976</v>
      </c>
      <c r="U145" s="51">
        <v>1977</v>
      </c>
      <c r="V145" s="51">
        <v>1978</v>
      </c>
      <c r="W145" s="51">
        <v>1979</v>
      </c>
      <c r="X145" s="51">
        <v>1980</v>
      </c>
      <c r="Y145" s="51">
        <v>1981</v>
      </c>
      <c r="Z145" s="51">
        <v>1982</v>
      </c>
      <c r="AA145" s="51">
        <v>1983</v>
      </c>
      <c r="AB145" s="51">
        <v>1984</v>
      </c>
      <c r="AC145" s="51">
        <v>1985</v>
      </c>
      <c r="AD145" s="51">
        <v>1986</v>
      </c>
      <c r="AE145" s="51">
        <v>1987</v>
      </c>
      <c r="AF145" s="51">
        <v>1988</v>
      </c>
      <c r="AG145" s="51">
        <v>1989</v>
      </c>
      <c r="AH145" s="51">
        <v>1990</v>
      </c>
      <c r="AI145" s="51">
        <v>1991</v>
      </c>
      <c r="AJ145" s="51">
        <v>1992</v>
      </c>
      <c r="AK145" s="51">
        <v>1993</v>
      </c>
      <c r="AL145" s="51">
        <v>1994</v>
      </c>
      <c r="AM145" s="51">
        <v>1995</v>
      </c>
      <c r="AN145" s="51">
        <v>1996</v>
      </c>
      <c r="AO145" s="51">
        <v>1997</v>
      </c>
      <c r="AP145" s="51">
        <v>1998</v>
      </c>
      <c r="AQ145" s="51">
        <v>1999</v>
      </c>
      <c r="AR145" s="51">
        <v>2000</v>
      </c>
      <c r="AS145" s="51">
        <v>2001</v>
      </c>
      <c r="AT145" s="51">
        <v>2002</v>
      </c>
      <c r="AU145" s="51">
        <v>2003</v>
      </c>
      <c r="AV145" s="51">
        <v>2004</v>
      </c>
      <c r="AW145" s="51">
        <v>2005</v>
      </c>
      <c r="AX145" s="51">
        <v>2006</v>
      </c>
      <c r="AY145" s="51">
        <v>2007</v>
      </c>
      <c r="AZ145" s="51">
        <v>2008</v>
      </c>
      <c r="BA145" s="51">
        <v>2009</v>
      </c>
      <c r="BB145" s="51">
        <v>2010</v>
      </c>
      <c r="BC145" s="51">
        <v>2011</v>
      </c>
      <c r="BD145" s="51">
        <v>2012</v>
      </c>
      <c r="BE145" s="51">
        <v>2013</v>
      </c>
      <c r="BF145" s="51">
        <v>2014</v>
      </c>
      <c r="BG145" s="51">
        <v>2015</v>
      </c>
      <c r="BH145" s="51">
        <v>2016</v>
      </c>
      <c r="BI145" s="51">
        <v>2017</v>
      </c>
      <c r="BJ145" s="51">
        <v>2018</v>
      </c>
      <c r="BK145" s="65">
        <v>2019</v>
      </c>
    </row>
    <row r="146" spans="1:63" s="51" customFormat="1">
      <c r="A146" s="202" t="s">
        <v>481</v>
      </c>
      <c r="B146" s="133">
        <v>282.5</v>
      </c>
      <c r="C146" s="51" t="s">
        <v>482</v>
      </c>
      <c r="H146" s="104"/>
      <c r="I146" s="104"/>
      <c r="J146" s="104"/>
      <c r="K146" s="104"/>
      <c r="L146" s="104"/>
      <c r="M146" s="104"/>
      <c r="N146" s="104"/>
      <c r="O146" s="104"/>
      <c r="P146" s="104"/>
      <c r="Q146" s="104"/>
      <c r="R146" s="104"/>
      <c r="S146" s="104"/>
      <c r="T146" s="104"/>
      <c r="U146" s="104"/>
      <c r="V146" s="104"/>
      <c r="W146" s="104"/>
      <c r="X146" s="104"/>
      <c r="Y146" s="104"/>
      <c r="Z146" s="104"/>
      <c r="AA146" s="104"/>
      <c r="AB146" s="104"/>
      <c r="AC146" s="104"/>
      <c r="AD146" s="104"/>
      <c r="AE146" s="104"/>
      <c r="AF146" s="104"/>
      <c r="AG146" s="104"/>
      <c r="AH146" s="104"/>
      <c r="AI146" s="104"/>
      <c r="AJ146" s="104"/>
      <c r="AK146" s="104"/>
      <c r="AL146" s="104"/>
      <c r="AM146" s="104"/>
      <c r="AN146" s="104"/>
      <c r="AO146" s="104"/>
      <c r="AP146" s="104"/>
      <c r="AQ146" s="104"/>
      <c r="AR146" s="104"/>
      <c r="AS146" s="104"/>
      <c r="AT146" s="104"/>
      <c r="AU146" s="104"/>
      <c r="AV146" s="104"/>
      <c r="AW146" s="104"/>
      <c r="AX146" s="104"/>
      <c r="AY146" s="104"/>
      <c r="AZ146" s="104"/>
      <c r="BA146" s="104"/>
      <c r="BB146" s="104"/>
      <c r="BC146" s="109"/>
      <c r="BK146" s="65"/>
    </row>
    <row r="147" spans="1:63" s="203" customFormat="1">
      <c r="B147" s="203" t="s">
        <v>86</v>
      </c>
      <c r="C147" s="203" t="s">
        <v>484</v>
      </c>
      <c r="D147" s="204">
        <f>$B$146/D136</f>
        <v>15.337203745846956</v>
      </c>
      <c r="E147" s="204">
        <f t="shared" ref="E147:BK147" si="43">$B$146/E136</f>
        <v>15.320424466218947</v>
      </c>
      <c r="F147" s="204">
        <f t="shared" si="43"/>
        <v>15.303663543537189</v>
      </c>
      <c r="G147" s="204">
        <f t="shared" si="43"/>
        <v>15.286920957718733</v>
      </c>
      <c r="H147" s="204">
        <f t="shared" si="43"/>
        <v>15.270196688702596</v>
      </c>
      <c r="I147" s="204">
        <f t="shared" si="43"/>
        <v>15.253490716449743</v>
      </c>
      <c r="J147" s="204">
        <f t="shared" si="43"/>
        <v>15.236803020943064</v>
      </c>
      <c r="K147" s="204">
        <f t="shared" si="43"/>
        <v>15.220133582187351</v>
      </c>
      <c r="L147" s="204">
        <f t="shared" si="43"/>
        <v>15.203482380209262</v>
      </c>
      <c r="M147" s="204">
        <f t="shared" si="43"/>
        <v>15.186849395057315</v>
      </c>
      <c r="N147" s="204">
        <f t="shared" si="43"/>
        <v>15.170234606801852</v>
      </c>
      <c r="O147" s="204">
        <f t="shared" si="43"/>
        <v>15.06100961105321</v>
      </c>
      <c r="P147" s="204">
        <f t="shared" si="43"/>
        <v>15.21170062282977</v>
      </c>
      <c r="Q147" s="204">
        <f t="shared" si="43"/>
        <v>15.423162562517595</v>
      </c>
      <c r="R147" s="204">
        <f t="shared" si="43"/>
        <v>15.268663428317153</v>
      </c>
      <c r="S147" s="204">
        <f t="shared" si="43"/>
        <v>14.807102538385683</v>
      </c>
      <c r="T147" s="204">
        <f t="shared" si="43"/>
        <v>14.778004892817194</v>
      </c>
      <c r="U147" s="204">
        <f t="shared" si="43"/>
        <v>14.93656890707549</v>
      </c>
      <c r="V147" s="204">
        <f t="shared" si="43"/>
        <v>15.221116311363076</v>
      </c>
      <c r="W147" s="204">
        <f t="shared" si="43"/>
        <v>15.584091092485226</v>
      </c>
      <c r="X147" s="204">
        <f t="shared" si="43"/>
        <v>15.005083184588011</v>
      </c>
      <c r="Y147" s="204">
        <f t="shared" si="43"/>
        <v>14.364826624089375</v>
      </c>
      <c r="Z147" s="204">
        <f t="shared" si="43"/>
        <v>14.348698793286664</v>
      </c>
      <c r="AA147" s="204">
        <f t="shared" si="43"/>
        <v>14.405216170118253</v>
      </c>
      <c r="AB147" s="204">
        <f t="shared" si="43"/>
        <v>14.136454006323961</v>
      </c>
      <c r="AC147" s="204">
        <f t="shared" si="43"/>
        <v>13.925604173260968</v>
      </c>
      <c r="AD147" s="204">
        <f t="shared" si="43"/>
        <v>13.930521375563323</v>
      </c>
      <c r="AE147" s="204">
        <f t="shared" si="43"/>
        <v>13.460925804001965</v>
      </c>
      <c r="AF147" s="204">
        <f t="shared" si="43"/>
        <v>13.222463018854716</v>
      </c>
      <c r="AG147" s="204">
        <f t="shared" si="43"/>
        <v>12.575870050286744</v>
      </c>
      <c r="AH147" s="204">
        <f t="shared" si="43"/>
        <v>13.088165486223998</v>
      </c>
      <c r="AI147" s="204">
        <f t="shared" si="43"/>
        <v>13.085971748942033</v>
      </c>
      <c r="AJ147" s="204">
        <f t="shared" si="43"/>
        <v>13.299253292693436</v>
      </c>
      <c r="AK147" s="204">
        <f t="shared" si="43"/>
        <v>13.492524200437416</v>
      </c>
      <c r="AL147" s="204">
        <f t="shared" si="43"/>
        <v>13.162876500117459</v>
      </c>
      <c r="AM147" s="204">
        <f t="shared" si="43"/>
        <v>12.819666277964799</v>
      </c>
      <c r="AN147" s="204">
        <f t="shared" si="43"/>
        <v>13.061879798374457</v>
      </c>
      <c r="AO147" s="204">
        <f t="shared" si="43"/>
        <v>13.003207338056814</v>
      </c>
      <c r="AP147" s="204">
        <f t="shared" si="43"/>
        <v>12.732182556770386</v>
      </c>
      <c r="AQ147" s="204">
        <f t="shared" si="43"/>
        <v>12.769743359169217</v>
      </c>
      <c r="AR147" s="204">
        <f t="shared" si="43"/>
        <v>12.794134500972557</v>
      </c>
      <c r="AS147" s="204">
        <f t="shared" si="43"/>
        <v>12.643588381259544</v>
      </c>
      <c r="AT147" s="204">
        <f t="shared" si="43"/>
        <v>12.633744818581814</v>
      </c>
      <c r="AU147" s="204">
        <f t="shared" si="43"/>
        <v>12.498929908401958</v>
      </c>
      <c r="AV147" s="204">
        <f t="shared" si="43"/>
        <v>12.471066990514247</v>
      </c>
      <c r="AW147" s="204">
        <f t="shared" si="43"/>
        <v>12.566285002505847</v>
      </c>
      <c r="AX147" s="204">
        <f t="shared" si="43"/>
        <v>12.379798434441614</v>
      </c>
      <c r="AY147" s="204">
        <f t="shared" si="43"/>
        <v>12.432725313539651</v>
      </c>
      <c r="AZ147" s="204">
        <f t="shared" si="43"/>
        <v>12.205533953765915</v>
      </c>
      <c r="BA147" s="204">
        <f t="shared" si="43"/>
        <v>11.886709006658577</v>
      </c>
      <c r="BB147" s="204">
        <f t="shared" si="43"/>
        <v>11.677303807756861</v>
      </c>
      <c r="BC147" s="204">
        <f t="shared" si="43"/>
        <v>11.453072390331078</v>
      </c>
      <c r="BD147" s="204">
        <f t="shared" si="43"/>
        <v>11.362437253086556</v>
      </c>
      <c r="BE147" s="204">
        <f t="shared" si="43"/>
        <v>11.125531258938899</v>
      </c>
      <c r="BF147" s="204">
        <f t="shared" si="43"/>
        <v>10.863251066922968</v>
      </c>
      <c r="BG147" s="204">
        <f t="shared" si="43"/>
        <v>10.753231933314618</v>
      </c>
      <c r="BH147" s="204">
        <f t="shared" si="43"/>
        <v>10.662756948215257</v>
      </c>
      <c r="BI147" s="204">
        <f t="shared" si="43"/>
        <v>10.445518882687809</v>
      </c>
      <c r="BJ147" s="204">
        <f t="shared" si="43"/>
        <v>10.136435233109072</v>
      </c>
      <c r="BK147" s="204" t="e">
        <f t="shared" si="43"/>
        <v>#DIV/0!</v>
      </c>
    </row>
    <row r="148" spans="1:63" s="51" customFormat="1">
      <c r="B148" s="51" t="s">
        <v>86</v>
      </c>
      <c r="C148" s="51" t="s">
        <v>485</v>
      </c>
      <c r="D148" s="46">
        <f>$B$146/D137</f>
        <v>12.269990115840052</v>
      </c>
      <c r="E148" s="46">
        <f t="shared" ref="E148:BK150" si="44">$B$146/E137</f>
        <v>12.256567857758011</v>
      </c>
      <c r="F148" s="46">
        <f t="shared" si="44"/>
        <v>12.243160282410864</v>
      </c>
      <c r="G148" s="46">
        <f t="shared" si="44"/>
        <v>12.22976737373703</v>
      </c>
      <c r="H148" s="46">
        <f t="shared" si="44"/>
        <v>12.216389115692493</v>
      </c>
      <c r="I148" s="46">
        <f t="shared" si="44"/>
        <v>12.203025492250795</v>
      </c>
      <c r="J148" s="46">
        <f t="shared" si="44"/>
        <v>12.189676487403004</v>
      </c>
      <c r="K148" s="46">
        <f t="shared" si="44"/>
        <v>12.176342085157701</v>
      </c>
      <c r="L148" s="46">
        <f t="shared" si="44"/>
        <v>12.163022269540964</v>
      </c>
      <c r="M148" s="46">
        <f t="shared" si="44"/>
        <v>12.149717024596338</v>
      </c>
      <c r="N148" s="46">
        <f t="shared" si="44"/>
        <v>12.136426334384831</v>
      </c>
      <c r="O148" s="46">
        <f t="shared" si="44"/>
        <v>12.049052276570091</v>
      </c>
      <c r="P148" s="46">
        <f t="shared" si="44"/>
        <v>12.169602357339581</v>
      </c>
      <c r="Q148" s="46">
        <f t="shared" si="44"/>
        <v>12.338788946110011</v>
      </c>
      <c r="R148" s="46">
        <f t="shared" si="44"/>
        <v>12.215185568800113</v>
      </c>
      <c r="S148" s="46">
        <f t="shared" si="44"/>
        <v>11.845941436116723</v>
      </c>
      <c r="T148" s="46">
        <f t="shared" si="44"/>
        <v>11.822655596065216</v>
      </c>
      <c r="U148" s="46">
        <f t="shared" si="44"/>
        <v>11.949521811514249</v>
      </c>
      <c r="V148" s="46">
        <f t="shared" si="44"/>
        <v>12.177148838833466</v>
      </c>
      <c r="W148" s="46">
        <f t="shared" si="44"/>
        <v>12.467530782915484</v>
      </c>
      <c r="X148" s="46">
        <f t="shared" si="44"/>
        <v>12.004316448454237</v>
      </c>
      <c r="Y148" s="46">
        <f t="shared" si="44"/>
        <v>11.492108690465768</v>
      </c>
      <c r="Z148" s="46">
        <f t="shared" si="44"/>
        <v>11.47923146656456</v>
      </c>
      <c r="AA148" s="46">
        <f t="shared" si="44"/>
        <v>11.524471470257707</v>
      </c>
      <c r="AB148" s="46">
        <f t="shared" si="44"/>
        <v>11.309495338566606</v>
      </c>
      <c r="AC148" s="46">
        <f t="shared" si="44"/>
        <v>11.140854351557675</v>
      </c>
      <c r="AD148" s="46">
        <f t="shared" si="44"/>
        <v>11.14485330261336</v>
      </c>
      <c r="AE148" s="46">
        <f t="shared" si="44"/>
        <v>10.769598789093791</v>
      </c>
      <c r="AF148" s="46">
        <f t="shared" si="44"/>
        <v>10.579060491798606</v>
      </c>
      <c r="AG148" s="46">
        <f t="shared" si="44"/>
        <v>10.062650529720376</v>
      </c>
      <c r="AH148" s="46">
        <f t="shared" si="44"/>
        <v>10.475501221004812</v>
      </c>
      <c r="AI148" s="46">
        <f t="shared" si="44"/>
        <v>10.475174305828304</v>
      </c>
      <c r="AJ148" s="46">
        <f t="shared" si="44"/>
        <v>10.649350104469205</v>
      </c>
      <c r="AK148" s="46">
        <f t="shared" si="44"/>
        <v>10.810122081251567</v>
      </c>
      <c r="AL148" s="46">
        <f t="shared" si="44"/>
        <v>10.557643191436382</v>
      </c>
      <c r="AM148" s="46">
        <f t="shared" si="44"/>
        <v>10.293004557781886</v>
      </c>
      <c r="AN148" s="46">
        <f t="shared" si="44"/>
        <v>10.495699882983859</v>
      </c>
      <c r="AO148" s="46">
        <f t="shared" si="44"/>
        <v>10.456508990524046</v>
      </c>
      <c r="AP148" s="46">
        <f t="shared" si="44"/>
        <v>10.242889706309294</v>
      </c>
      <c r="AQ148" s="46">
        <f t="shared" si="44"/>
        <v>10.281755414786085</v>
      </c>
      <c r="AR148" s="46">
        <f t="shared" si="44"/>
        <v>10.307612527582545</v>
      </c>
      <c r="AS148" s="46">
        <f t="shared" si="44"/>
        <v>10.19779160913064</v>
      </c>
      <c r="AT148" s="46">
        <f t="shared" si="44"/>
        <v>10.206470017679392</v>
      </c>
      <c r="AU148" s="46">
        <f t="shared" si="44"/>
        <v>10.119104388593835</v>
      </c>
      <c r="AV148" s="46">
        <f t="shared" si="44"/>
        <v>10.11848155486104</v>
      </c>
      <c r="AW148" s="46">
        <f t="shared" si="44"/>
        <v>10.224751364012379</v>
      </c>
      <c r="AX148" s="46">
        <f t="shared" si="44"/>
        <v>10.107972978195018</v>
      </c>
      <c r="AY148" s="46">
        <f t="shared" si="44"/>
        <v>10.182365362508135</v>
      </c>
      <c r="AZ148" s="46">
        <f t="shared" si="44"/>
        <v>10.031035527228084</v>
      </c>
      <c r="BA148" s="46">
        <f t="shared" si="44"/>
        <v>9.795787521610082</v>
      </c>
      <c r="BB148" s="46">
        <f t="shared" si="44"/>
        <v>9.6610807152911793</v>
      </c>
      <c r="BC148" s="46">
        <f t="shared" si="44"/>
        <v>9.516733686973323</v>
      </c>
      <c r="BD148" s="46">
        <f t="shared" si="44"/>
        <v>9.4874703077374196</v>
      </c>
      <c r="BE148" s="46">
        <f t="shared" si="44"/>
        <v>9.3257750525951231</v>
      </c>
      <c r="BF148" s="46">
        <f t="shared" si="44"/>
        <v>9.1319419001606121</v>
      </c>
      <c r="BG148" s="46">
        <f t="shared" si="44"/>
        <v>9.0691532405272941</v>
      </c>
      <c r="BH148" s="46">
        <f t="shared" si="44"/>
        <v>9.0189994421670505</v>
      </c>
      <c r="BI148" s="46">
        <f t="shared" si="44"/>
        <v>8.8483828241585574</v>
      </c>
      <c r="BJ148" s="46">
        <f t="shared" si="44"/>
        <v>8.5868712983500721</v>
      </c>
      <c r="BK148" s="46" t="e">
        <f t="shared" si="44"/>
        <v>#DIV/0!</v>
      </c>
    </row>
    <row r="149" spans="1:63" s="51" customFormat="1">
      <c r="B149" s="51" t="s">
        <v>86</v>
      </c>
      <c r="C149" s="51" t="s">
        <v>504</v>
      </c>
      <c r="D149" s="121">
        <f t="shared" ref="D149:S150" si="45">$B$146/D138</f>
        <v>21.404454978998331</v>
      </c>
      <c r="E149" s="121">
        <f t="shared" si="45"/>
        <v>21.261567641017233</v>
      </c>
      <c r="F149" s="121">
        <f t="shared" si="45"/>
        <v>21.119634160136226</v>
      </c>
      <c r="G149" s="121">
        <f t="shared" si="45"/>
        <v>20.978648168797623</v>
      </c>
      <c r="H149" s="121">
        <f t="shared" si="45"/>
        <v>20.838603341950936</v>
      </c>
      <c r="I149" s="121">
        <f t="shared" si="45"/>
        <v>20.699493396769103</v>
      </c>
      <c r="J149" s="121">
        <f t="shared" si="45"/>
        <v>20.561312092366645</v>
      </c>
      <c r="K149" s="121">
        <f t="shared" si="45"/>
        <v>20.424053229519654</v>
      </c>
      <c r="L149" s="121">
        <f t="shared" si="45"/>
        <v>20.287710650387705</v>
      </c>
      <c r="M149" s="121">
        <f t="shared" si="45"/>
        <v>20.152278238237571</v>
      </c>
      <c r="N149" s="121">
        <f t="shared" si="45"/>
        <v>20.017749917168825</v>
      </c>
      <c r="O149" s="121">
        <f t="shared" si="45"/>
        <v>19.733832912156501</v>
      </c>
      <c r="P149" s="121">
        <f t="shared" si="45"/>
        <v>19.670941284949315</v>
      </c>
      <c r="Q149" s="121">
        <f t="shared" si="45"/>
        <v>19.841898668572515</v>
      </c>
      <c r="R149" s="121">
        <f t="shared" si="45"/>
        <v>19.708089465650577</v>
      </c>
      <c r="S149" s="121">
        <f t="shared" si="45"/>
        <v>19.089313563016091</v>
      </c>
      <c r="T149" s="121">
        <f t="shared" si="44"/>
        <v>18.941963069797971</v>
      </c>
      <c r="U149" s="121">
        <f t="shared" si="44"/>
        <v>19.154773484233825</v>
      </c>
      <c r="V149" s="121">
        <f t="shared" si="44"/>
        <v>19.206840803655059</v>
      </c>
      <c r="W149" s="121">
        <f t="shared" si="44"/>
        <v>19.559449196848135</v>
      </c>
      <c r="X149" s="121">
        <f t="shared" si="44"/>
        <v>18.72088367302425</v>
      </c>
      <c r="Y149" s="121">
        <f t="shared" si="44"/>
        <v>17.999469667776143</v>
      </c>
      <c r="Z149" s="121">
        <f t="shared" si="44"/>
        <v>18.112657880788905</v>
      </c>
      <c r="AA149" s="121">
        <f t="shared" si="44"/>
        <v>18.298915481423137</v>
      </c>
      <c r="AB149" s="121">
        <f t="shared" si="44"/>
        <v>18.261224400374001</v>
      </c>
      <c r="AC149" s="121">
        <f t="shared" si="44"/>
        <v>17.983787069519899</v>
      </c>
      <c r="AD149" s="121">
        <f t="shared" si="44"/>
        <v>18.442653760416981</v>
      </c>
      <c r="AE149" s="121">
        <f t="shared" si="44"/>
        <v>17.837609691693984</v>
      </c>
      <c r="AF149" s="121">
        <f t="shared" si="44"/>
        <v>17.740294090884863</v>
      </c>
      <c r="AG149" s="121">
        <f t="shared" si="44"/>
        <v>19.941609355660379</v>
      </c>
      <c r="AH149" s="121">
        <f t="shared" si="44"/>
        <v>19.341626829465742</v>
      </c>
      <c r="AI149" s="121">
        <f t="shared" si="44"/>
        <v>19.324692537315414</v>
      </c>
      <c r="AJ149" s="121">
        <f t="shared" si="44"/>
        <v>19.975307879318748</v>
      </c>
      <c r="AK149" s="121">
        <f t="shared" si="44"/>
        <v>20.349047618195893</v>
      </c>
      <c r="AL149" s="121">
        <f t="shared" si="44"/>
        <v>20.615136723378523</v>
      </c>
      <c r="AM149" s="121">
        <f t="shared" si="44"/>
        <v>20.247101667748808</v>
      </c>
      <c r="AN149" s="121">
        <f t="shared" si="44"/>
        <v>20.680481912862462</v>
      </c>
      <c r="AO149" s="121">
        <f t="shared" si="44"/>
        <v>20.656170536912402</v>
      </c>
      <c r="AP149" s="121">
        <f t="shared" si="44"/>
        <v>20.196813501478132</v>
      </c>
      <c r="AQ149" s="121">
        <f t="shared" si="44"/>
        <v>19.998204687675749</v>
      </c>
      <c r="AR149" s="121">
        <f t="shared" si="44"/>
        <v>19.930475556519148</v>
      </c>
      <c r="AS149" s="121">
        <f t="shared" si="44"/>
        <v>19.599659908884806</v>
      </c>
      <c r="AT149" s="121">
        <f t="shared" si="44"/>
        <v>19.524634214788453</v>
      </c>
      <c r="AU149" s="121">
        <f t="shared" si="44"/>
        <v>19.238894921967908</v>
      </c>
      <c r="AV149" s="121">
        <f t="shared" si="44"/>
        <v>18.980967977914027</v>
      </c>
      <c r="AW149" s="121">
        <f t="shared" si="44"/>
        <v>19.066458749504157</v>
      </c>
      <c r="AX149" s="121">
        <f t="shared" si="44"/>
        <v>18.845123655872772</v>
      </c>
      <c r="AY149" s="121">
        <f t="shared" si="44"/>
        <v>18.634733258731352</v>
      </c>
      <c r="AZ149" s="121">
        <f t="shared" si="44"/>
        <v>17.827804075970946</v>
      </c>
      <c r="BA149" s="121">
        <f t="shared" si="44"/>
        <v>17.995963752000335</v>
      </c>
      <c r="BB149" s="121">
        <f t="shared" si="44"/>
        <v>18.094163043353714</v>
      </c>
      <c r="BC149" s="121">
        <f t="shared" si="44"/>
        <v>17.961449004859016</v>
      </c>
      <c r="BD149" s="121">
        <f t="shared" si="44"/>
        <v>18.095542841835996</v>
      </c>
      <c r="BE149" s="121">
        <f t="shared" si="44"/>
        <v>17.672321801431565</v>
      </c>
      <c r="BF149" s="121">
        <f t="shared" si="44"/>
        <v>17.347236623508632</v>
      </c>
      <c r="BG149" s="121">
        <f t="shared" si="44"/>
        <v>17.360180904337557</v>
      </c>
      <c r="BH149" s="121">
        <f t="shared" si="44"/>
        <v>17.456611801590689</v>
      </c>
      <c r="BI149" s="121">
        <f t="shared" si="44"/>
        <v>17.106338285992123</v>
      </c>
      <c r="BJ149" s="121">
        <f t="shared" si="44"/>
        <v>16.729141266998944</v>
      </c>
      <c r="BK149" s="121" t="e">
        <f t="shared" si="44"/>
        <v>#DIV/0!</v>
      </c>
    </row>
    <row r="150" spans="1:63" s="51" customFormat="1">
      <c r="B150" s="51" t="s">
        <v>86</v>
      </c>
      <c r="C150" s="51" t="s">
        <v>505</v>
      </c>
      <c r="D150" s="121">
        <f t="shared" si="45"/>
        <v>17.123563983198672</v>
      </c>
      <c r="E150" s="121">
        <f t="shared" si="44"/>
        <v>17.009254112813792</v>
      </c>
      <c r="F150" s="121">
        <f t="shared" si="44"/>
        <v>16.895707328108983</v>
      </c>
      <c r="G150" s="121">
        <f t="shared" si="44"/>
        <v>16.782918535038103</v>
      </c>
      <c r="H150" s="121">
        <f t="shared" si="44"/>
        <v>16.670882673560754</v>
      </c>
      <c r="I150" s="121">
        <f t="shared" si="44"/>
        <v>16.55959471741529</v>
      </c>
      <c r="J150" s="121">
        <f t="shared" si="44"/>
        <v>16.44904967389332</v>
      </c>
      <c r="K150" s="121">
        <f t="shared" si="44"/>
        <v>16.339242583615732</v>
      </c>
      <c r="L150" s="121">
        <f t="shared" si="44"/>
        <v>16.230168520310169</v>
      </c>
      <c r="M150" s="121">
        <f t="shared" si="44"/>
        <v>16.12182259059006</v>
      </c>
      <c r="N150" s="121">
        <f t="shared" si="44"/>
        <v>16.014199933735064</v>
      </c>
      <c r="O150" s="121">
        <f t="shared" si="44"/>
        <v>15.787066329725198</v>
      </c>
      <c r="P150" s="121">
        <f t="shared" si="44"/>
        <v>15.736753027959448</v>
      </c>
      <c r="Q150" s="121">
        <f t="shared" si="44"/>
        <v>15.87351893485801</v>
      </c>
      <c r="R150" s="121">
        <f t="shared" si="44"/>
        <v>15.766471572520457</v>
      </c>
      <c r="S150" s="121">
        <f t="shared" si="44"/>
        <v>15.271450850412871</v>
      </c>
      <c r="T150" s="121">
        <f t="shared" si="44"/>
        <v>15.153570455838377</v>
      </c>
      <c r="U150" s="121">
        <f t="shared" si="44"/>
        <v>15.323818787387067</v>
      </c>
      <c r="V150" s="121">
        <f t="shared" si="44"/>
        <v>15.365472642924049</v>
      </c>
      <c r="W150" s="121">
        <f t="shared" si="44"/>
        <v>15.647559357478508</v>
      </c>
      <c r="X150" s="121">
        <f t="shared" si="44"/>
        <v>14.976706938419401</v>
      </c>
      <c r="Y150" s="121">
        <f t="shared" si="44"/>
        <v>14.399575734220914</v>
      </c>
      <c r="Z150" s="121">
        <f t="shared" si="44"/>
        <v>14.49012630463112</v>
      </c>
      <c r="AA150" s="121">
        <f t="shared" si="44"/>
        <v>14.639132385138511</v>
      </c>
      <c r="AB150" s="121">
        <f t="shared" si="44"/>
        <v>14.608979520299199</v>
      </c>
      <c r="AC150" s="121">
        <f t="shared" si="44"/>
        <v>14.387029655615917</v>
      </c>
      <c r="AD150" s="121">
        <f t="shared" si="44"/>
        <v>14.754123008333586</v>
      </c>
      <c r="AE150" s="121">
        <f t="shared" si="44"/>
        <v>14.270087753355192</v>
      </c>
      <c r="AF150" s="121">
        <f t="shared" si="44"/>
        <v>14.192235272707894</v>
      </c>
      <c r="AG150" s="121">
        <f t="shared" si="44"/>
        <v>15.953287484528294</v>
      </c>
      <c r="AH150" s="121">
        <f t="shared" si="44"/>
        <v>15.473301463572598</v>
      </c>
      <c r="AI150" s="121">
        <f t="shared" si="44"/>
        <v>15.459754029852329</v>
      </c>
      <c r="AJ150" s="121">
        <f t="shared" si="44"/>
        <v>15.980246303454997</v>
      </c>
      <c r="AK150" s="121">
        <f t="shared" si="44"/>
        <v>16.279238094556714</v>
      </c>
      <c r="AL150" s="121">
        <f t="shared" si="44"/>
        <v>16.492109378702818</v>
      </c>
      <c r="AM150" s="121">
        <f t="shared" si="44"/>
        <v>16.197681334199039</v>
      </c>
      <c r="AN150" s="121">
        <f t="shared" si="44"/>
        <v>16.544385530289969</v>
      </c>
      <c r="AO150" s="121">
        <f t="shared" si="44"/>
        <v>16.524936429529916</v>
      </c>
      <c r="AP150" s="121">
        <f t="shared" si="44"/>
        <v>16.157450801182513</v>
      </c>
      <c r="AQ150" s="121">
        <f t="shared" si="44"/>
        <v>15.998563750140598</v>
      </c>
      <c r="AR150" s="121">
        <f t="shared" si="44"/>
        <v>15.944380445215318</v>
      </c>
      <c r="AS150" s="121">
        <f t="shared" si="44"/>
        <v>15.679727927107846</v>
      </c>
      <c r="AT150" s="121">
        <f t="shared" si="44"/>
        <v>15.619707371830753</v>
      </c>
      <c r="AU150" s="121">
        <f t="shared" si="44"/>
        <v>15.391115937574328</v>
      </c>
      <c r="AV150" s="121">
        <f t="shared" si="44"/>
        <v>15.18477438233122</v>
      </c>
      <c r="AW150" s="121">
        <f t="shared" si="44"/>
        <v>15.253166999603335</v>
      </c>
      <c r="AX150" s="121">
        <f t="shared" si="44"/>
        <v>15.076098924698224</v>
      </c>
      <c r="AY150" s="121">
        <f t="shared" si="44"/>
        <v>14.907786606985082</v>
      </c>
      <c r="AZ150" s="121">
        <f t="shared" si="44"/>
        <v>14.262243260776751</v>
      </c>
      <c r="BA150" s="121">
        <f t="shared" si="44"/>
        <v>14.396771001600271</v>
      </c>
      <c r="BB150" s="121">
        <f t="shared" si="44"/>
        <v>14.475330434682977</v>
      </c>
      <c r="BC150" s="121">
        <f t="shared" si="44"/>
        <v>14.369159203887213</v>
      </c>
      <c r="BD150" s="121">
        <f t="shared" si="44"/>
        <v>14.476434273468799</v>
      </c>
      <c r="BE150" s="121">
        <f t="shared" si="44"/>
        <v>14.137857441145252</v>
      </c>
      <c r="BF150" s="121">
        <f t="shared" si="44"/>
        <v>13.877789298806903</v>
      </c>
      <c r="BG150" s="121">
        <f t="shared" si="44"/>
        <v>13.888144723470045</v>
      </c>
      <c r="BH150" s="121">
        <f t="shared" si="44"/>
        <v>13.965289441272549</v>
      </c>
      <c r="BI150" s="121">
        <f t="shared" si="44"/>
        <v>13.685070628793699</v>
      </c>
      <c r="BJ150" s="121">
        <f t="shared" si="44"/>
        <v>13.383313013599158</v>
      </c>
      <c r="BK150" s="121" t="e">
        <f t="shared" si="44"/>
        <v>#DIV/0!</v>
      </c>
    </row>
    <row r="151" spans="1:63" s="203" customFormat="1">
      <c r="B151" s="203" t="s">
        <v>86</v>
      </c>
      <c r="C151" s="203" t="s">
        <v>502</v>
      </c>
      <c r="D151" s="204">
        <f t="shared" ref="D151:BK151" si="46">$B$146/D140</f>
        <v>16.062054879824025</v>
      </c>
      <c r="E151" s="204">
        <f t="shared" si="46"/>
        <v>16.028644242411524</v>
      </c>
      <c r="F151" s="204">
        <f t="shared" si="46"/>
        <v>15.995303102376583</v>
      </c>
      <c r="G151" s="204">
        <f t="shared" si="46"/>
        <v>15.962031315157887</v>
      </c>
      <c r="H151" s="204">
        <f t="shared" si="46"/>
        <v>15.928828736494831</v>
      </c>
      <c r="I151" s="204">
        <f t="shared" si="46"/>
        <v>15.895695222426882</v>
      </c>
      <c r="J151" s="204">
        <f t="shared" si="46"/>
        <v>15.86263062929296</v>
      </c>
      <c r="K151" s="204">
        <f t="shared" si="46"/>
        <v>15.829634813730816</v>
      </c>
      <c r="L151" s="204">
        <f t="shared" si="46"/>
        <v>15.796707632676407</v>
      </c>
      <c r="M151" s="204">
        <f t="shared" si="46"/>
        <v>15.763848943363275</v>
      </c>
      <c r="N151" s="204">
        <f t="shared" si="46"/>
        <v>15.731058603321934</v>
      </c>
      <c r="O151" s="204">
        <f t="shared" si="46"/>
        <v>15.593617381954559</v>
      </c>
      <c r="P151" s="204">
        <f t="shared" si="46"/>
        <v>15.714414071787269</v>
      </c>
      <c r="Q151" s="204">
        <f t="shared" si="46"/>
        <v>15.920566574736794</v>
      </c>
      <c r="R151" s="204">
        <f t="shared" si="46"/>
        <v>15.784501523247876</v>
      </c>
      <c r="S151" s="204">
        <f t="shared" si="46"/>
        <v>15.297794672056954</v>
      </c>
      <c r="T151" s="204">
        <f t="shared" si="46"/>
        <v>15.246521952683423</v>
      </c>
      <c r="U151" s="204">
        <f t="shared" si="46"/>
        <v>15.408661776862827</v>
      </c>
      <c r="V151" s="204">
        <f t="shared" si="46"/>
        <v>15.663303875388586</v>
      </c>
      <c r="W151" s="204">
        <f t="shared" si="46"/>
        <v>16.024497871077642</v>
      </c>
      <c r="X151" s="204">
        <f t="shared" si="46"/>
        <v>15.406883280669019</v>
      </c>
      <c r="Y151" s="204">
        <f t="shared" si="46"/>
        <v>14.752766151016811</v>
      </c>
      <c r="Z151" s="204">
        <f t="shared" si="46"/>
        <v>14.736050594302485</v>
      </c>
      <c r="AA151" s="204">
        <f t="shared" si="46"/>
        <v>14.799651752913643</v>
      </c>
      <c r="AB151" s="204">
        <f t="shared" si="46"/>
        <v>14.554500261133862</v>
      </c>
      <c r="AC151" s="204">
        <f t="shared" si="46"/>
        <v>14.341886566327227</v>
      </c>
      <c r="AD151" s="204">
        <f t="shared" si="46"/>
        <v>14.389308889287772</v>
      </c>
      <c r="AE151" s="204">
        <f t="shared" si="46"/>
        <v>13.911548988676804</v>
      </c>
      <c r="AF151" s="204">
        <f t="shared" si="46"/>
        <v>13.701078514066257</v>
      </c>
      <c r="AG151" s="204">
        <f t="shared" si="46"/>
        <v>13.364413373481659</v>
      </c>
      <c r="AH151" s="204">
        <f t="shared" si="46"/>
        <v>13.751370278085878</v>
      </c>
      <c r="AI151" s="204">
        <f t="shared" si="46"/>
        <v>13.774602068036815</v>
      </c>
      <c r="AJ151" s="204">
        <f t="shared" si="46"/>
        <v>14.022637557916743</v>
      </c>
      <c r="AK151" s="204">
        <f t="shared" si="46"/>
        <v>14.239095874393948</v>
      </c>
      <c r="AL151" s="204">
        <f t="shared" si="46"/>
        <v>13.98769889490271</v>
      </c>
      <c r="AM151" s="204">
        <f t="shared" si="46"/>
        <v>13.648088851143306</v>
      </c>
      <c r="AN151" s="204">
        <f t="shared" si="46"/>
        <v>13.918167959980899</v>
      </c>
      <c r="AO151" s="204">
        <f t="shared" si="46"/>
        <v>13.888261085458412</v>
      </c>
      <c r="AP151" s="204">
        <f t="shared" si="46"/>
        <v>13.61924556122854</v>
      </c>
      <c r="AQ151" s="204">
        <f t="shared" si="46"/>
        <v>13.624639624722192</v>
      </c>
      <c r="AR151" s="204">
        <f t="shared" si="46"/>
        <v>13.646023709968564</v>
      </c>
      <c r="AS151" s="204">
        <f t="shared" si="46"/>
        <v>13.479021526161688</v>
      </c>
      <c r="AT151" s="204">
        <f t="shared" si="46"/>
        <v>13.457092684898379</v>
      </c>
      <c r="AU151" s="204">
        <f t="shared" si="46"/>
        <v>13.335169123340341</v>
      </c>
      <c r="AV151" s="204">
        <f t="shared" si="46"/>
        <v>13.298028823014535</v>
      </c>
      <c r="AW151" s="204">
        <f t="shared" si="46"/>
        <v>13.406618835806698</v>
      </c>
      <c r="AX151" s="204">
        <f t="shared" si="46"/>
        <v>13.226315752148537</v>
      </c>
      <c r="AY151" s="204">
        <f t="shared" si="46"/>
        <v>13.268663040680279</v>
      </c>
      <c r="AZ151" s="204">
        <f t="shared" si="46"/>
        <v>12.951788167341327</v>
      </c>
      <c r="BA151" s="204">
        <f t="shared" si="46"/>
        <v>12.682614029093692</v>
      </c>
      <c r="BB151" s="204">
        <f t="shared" si="46"/>
        <v>12.527656809709731</v>
      </c>
      <c r="BC151" s="204">
        <f t="shared" si="46"/>
        <v>12.309756890991038</v>
      </c>
      <c r="BD151" s="204">
        <f t="shared" si="46"/>
        <v>12.238840593898587</v>
      </c>
      <c r="BE151" s="204">
        <f t="shared" si="46"/>
        <v>11.991388664021107</v>
      </c>
      <c r="BF151" s="204">
        <f t="shared" si="46"/>
        <v>11.739909405174636</v>
      </c>
      <c r="BG151" s="204">
        <f t="shared" si="46"/>
        <v>11.66335247214051</v>
      </c>
      <c r="BH151" s="204">
        <f t="shared" si="46"/>
        <v>11.620710106509399</v>
      </c>
      <c r="BI151" s="204">
        <f t="shared" si="46"/>
        <v>11.391234136641849</v>
      </c>
      <c r="BJ151" s="204">
        <f t="shared" si="46"/>
        <v>11.079234492709086</v>
      </c>
      <c r="BK151" s="204" t="e">
        <f t="shared" si="46"/>
        <v>#DIV/0!</v>
      </c>
    </row>
    <row r="152" spans="1:63" s="203" customFormat="1">
      <c r="B152" s="203" t="s">
        <v>86</v>
      </c>
      <c r="C152" s="203" t="s">
        <v>503</v>
      </c>
      <c r="D152" s="204">
        <f t="shared" ref="D152:BK152" si="47">$B$146/D141</f>
        <v>12.849881756893742</v>
      </c>
      <c r="E152" s="204">
        <f t="shared" si="47"/>
        <v>12.823154231670195</v>
      </c>
      <c r="F152" s="204">
        <f t="shared" si="47"/>
        <v>12.796482299223147</v>
      </c>
      <c r="G152" s="204">
        <f t="shared" si="47"/>
        <v>12.769865843920616</v>
      </c>
      <c r="H152" s="204">
        <f t="shared" si="47"/>
        <v>12.743304750371127</v>
      </c>
      <c r="I152" s="204">
        <f t="shared" si="47"/>
        <v>12.716798903423223</v>
      </c>
      <c r="J152" s="204">
        <f t="shared" si="47"/>
        <v>12.690348188164954</v>
      </c>
      <c r="K152" s="204">
        <f t="shared" si="47"/>
        <v>12.663952489923386</v>
      </c>
      <c r="L152" s="204">
        <f t="shared" si="47"/>
        <v>12.637611694264107</v>
      </c>
      <c r="M152" s="204">
        <f t="shared" si="47"/>
        <v>12.611325686990723</v>
      </c>
      <c r="N152" s="204">
        <f t="shared" si="47"/>
        <v>12.585094354144365</v>
      </c>
      <c r="O152" s="204">
        <f t="shared" si="47"/>
        <v>12.475147142732848</v>
      </c>
      <c r="P152" s="204">
        <f t="shared" si="47"/>
        <v>12.571781109419273</v>
      </c>
      <c r="Q152" s="204">
        <f t="shared" si="47"/>
        <v>12.736720505402289</v>
      </c>
      <c r="R152" s="204">
        <f t="shared" si="47"/>
        <v>12.627864653817422</v>
      </c>
      <c r="S152" s="204">
        <f t="shared" si="47"/>
        <v>12.238503739481901</v>
      </c>
      <c r="T152" s="204">
        <f t="shared" si="47"/>
        <v>12.197477223196481</v>
      </c>
      <c r="U152" s="204">
        <f t="shared" si="47"/>
        <v>12.327204536354211</v>
      </c>
      <c r="V152" s="204">
        <f t="shared" si="47"/>
        <v>12.530906320983442</v>
      </c>
      <c r="W152" s="204">
        <f t="shared" si="47"/>
        <v>12.819863494301735</v>
      </c>
      <c r="X152" s="204">
        <f t="shared" si="47"/>
        <v>12.325763217061954</v>
      </c>
      <c r="Y152" s="204">
        <f t="shared" si="47"/>
        <v>11.8024669931063</v>
      </c>
      <c r="Z152" s="204">
        <f t="shared" si="47"/>
        <v>11.789120261842056</v>
      </c>
      <c r="AA152" s="204">
        <f t="shared" si="47"/>
        <v>11.840028110789723</v>
      </c>
      <c r="AB152" s="204">
        <f t="shared" si="47"/>
        <v>11.643942164337963</v>
      </c>
      <c r="AC152" s="204">
        <f t="shared" si="47"/>
        <v>11.473891356815521</v>
      </c>
      <c r="AD152" s="204">
        <f t="shared" si="47"/>
        <v>11.511897679466264</v>
      </c>
      <c r="AE152" s="204">
        <f t="shared" si="47"/>
        <v>11.130126064459121</v>
      </c>
      <c r="AF152" s="204">
        <f t="shared" si="47"/>
        <v>10.961992345639676</v>
      </c>
      <c r="AG152" s="204">
        <f t="shared" si="47"/>
        <v>10.693607740404483</v>
      </c>
      <c r="AH152" s="204">
        <f t="shared" si="47"/>
        <v>11.006316835632996</v>
      </c>
      <c r="AI152" s="204">
        <f t="shared" si="47"/>
        <v>11.026415189057264</v>
      </c>
      <c r="AJ152" s="204">
        <f t="shared" si="47"/>
        <v>11.228598587890415</v>
      </c>
      <c r="AK152" s="204">
        <f t="shared" si="47"/>
        <v>11.408270420137846</v>
      </c>
      <c r="AL152" s="204">
        <f t="shared" si="47"/>
        <v>11.219214432370766</v>
      </c>
      <c r="AM152" s="204">
        <f t="shared" si="47"/>
        <v>10.958151148699963</v>
      </c>
      <c r="AN152" s="204">
        <f t="shared" si="47"/>
        <v>11.183758852772547</v>
      </c>
      <c r="AO152" s="204">
        <f t="shared" si="47"/>
        <v>11.168223587254056</v>
      </c>
      <c r="AP152" s="204">
        <f t="shared" si="47"/>
        <v>10.956521361895369</v>
      </c>
      <c r="AQ152" s="204">
        <f t="shared" si="47"/>
        <v>10.970088301376034</v>
      </c>
      <c r="AR152" s="204">
        <f t="shared" si="47"/>
        <v>10.993938271781349</v>
      </c>
      <c r="AS152" s="204">
        <f t="shared" si="47"/>
        <v>10.871617176538429</v>
      </c>
      <c r="AT152" s="204">
        <f t="shared" si="47"/>
        <v>10.871631094806773</v>
      </c>
      <c r="AU152" s="204">
        <f t="shared" si="47"/>
        <v>10.796121699020464</v>
      </c>
      <c r="AV152" s="204">
        <f t="shared" si="47"/>
        <v>10.78944243215348</v>
      </c>
      <c r="AW152" s="204">
        <f t="shared" si="47"/>
        <v>10.908501932024746</v>
      </c>
      <c r="AX152" s="204">
        <f t="shared" si="47"/>
        <v>10.799145311756654</v>
      </c>
      <c r="AY152" s="204">
        <f t="shared" si="47"/>
        <v>10.866995895508081</v>
      </c>
      <c r="AZ152" s="204">
        <f t="shared" si="47"/>
        <v>10.644339505331308</v>
      </c>
      <c r="BA152" s="204">
        <f t="shared" si="47"/>
        <v>10.451689544852117</v>
      </c>
      <c r="BB152" s="204">
        <f t="shared" si="47"/>
        <v>10.364610324831672</v>
      </c>
      <c r="BC152" s="204">
        <f t="shared" si="47"/>
        <v>10.22858095106827</v>
      </c>
      <c r="BD152" s="204">
        <f t="shared" si="47"/>
        <v>10.219254386131109</v>
      </c>
      <c r="BE152" s="204">
        <f t="shared" si="47"/>
        <v>10.051564338471485</v>
      </c>
      <c r="BF152" s="204">
        <f t="shared" si="47"/>
        <v>9.8688845485342096</v>
      </c>
      <c r="BG152" s="204">
        <f t="shared" si="47"/>
        <v>9.8367385288526989</v>
      </c>
      <c r="BH152" s="204">
        <f t="shared" si="47"/>
        <v>9.8292757189533457</v>
      </c>
      <c r="BI152" s="204">
        <f t="shared" si="47"/>
        <v>9.6494967471347266</v>
      </c>
      <c r="BJ152" s="204">
        <f t="shared" si="47"/>
        <v>9.3855441765550047</v>
      </c>
      <c r="BK152" s="204" t="e">
        <f t="shared" si="47"/>
        <v>#DIV/0!</v>
      </c>
    </row>
    <row r="153" spans="1:63" s="51" customFormat="1">
      <c r="H153" s="104"/>
      <c r="I153" s="104"/>
      <c r="J153" s="104"/>
      <c r="K153" s="104"/>
      <c r="L153" s="104"/>
      <c r="M153" s="104"/>
      <c r="N153" s="104"/>
      <c r="O153" s="104"/>
      <c r="P153" s="104"/>
      <c r="Q153" s="104"/>
      <c r="R153" s="104"/>
      <c r="S153" s="104"/>
      <c r="T153" s="104"/>
      <c r="U153" s="104"/>
      <c r="V153" s="104"/>
      <c r="W153" s="104"/>
      <c r="X153" s="104"/>
      <c r="Y153" s="104"/>
      <c r="Z153" s="104"/>
      <c r="AA153" s="104"/>
      <c r="AB153" s="104"/>
      <c r="AC153" s="104"/>
      <c r="AD153" s="104"/>
      <c r="AE153" s="104"/>
      <c r="AF153" s="104"/>
      <c r="AG153" s="104"/>
      <c r="AH153" s="104"/>
      <c r="AI153" s="104"/>
      <c r="AJ153" s="104"/>
      <c r="AK153" s="104"/>
      <c r="AL153" s="104"/>
      <c r="AM153" s="104"/>
      <c r="AN153" s="104"/>
      <c r="AO153" s="104"/>
      <c r="AP153" s="104"/>
      <c r="AQ153" s="104"/>
      <c r="AR153" s="104"/>
      <c r="AS153" s="104"/>
      <c r="AT153" s="104"/>
      <c r="AU153" s="104"/>
      <c r="AV153" s="104"/>
      <c r="AW153" s="104"/>
      <c r="AX153" s="104"/>
      <c r="AY153" s="104"/>
      <c r="AZ153" s="104"/>
      <c r="BA153" s="104"/>
      <c r="BB153" s="104"/>
      <c r="BC153" s="109"/>
      <c r="BK153" s="65"/>
    </row>
    <row r="154" spans="1:63" s="51" customFormat="1">
      <c r="H154" s="104"/>
      <c r="I154" s="104"/>
      <c r="J154" s="104"/>
      <c r="K154" s="104"/>
      <c r="L154" s="104"/>
      <c r="M154" s="104"/>
      <c r="N154" s="104"/>
      <c r="O154" s="104"/>
      <c r="P154" s="104"/>
      <c r="Q154" s="104"/>
      <c r="R154" s="104"/>
      <c r="S154" s="104"/>
      <c r="T154" s="104"/>
      <c r="U154" s="104"/>
      <c r="V154" s="104"/>
      <c r="W154" s="104"/>
      <c r="X154" s="104"/>
      <c r="Y154" s="104"/>
      <c r="Z154" s="104"/>
      <c r="AA154" s="104"/>
      <c r="AB154" s="104"/>
      <c r="AC154" s="104"/>
      <c r="AD154" s="104"/>
      <c r="AE154" s="104"/>
      <c r="AF154" s="104"/>
      <c r="AG154" s="104"/>
      <c r="AH154" s="104"/>
      <c r="AI154" s="104"/>
      <c r="AJ154" s="104"/>
      <c r="AK154" s="104"/>
      <c r="AL154" s="104"/>
      <c r="AM154" s="104"/>
      <c r="AN154" s="104"/>
      <c r="AO154" s="104"/>
      <c r="AP154" s="104"/>
      <c r="AQ154" s="104"/>
      <c r="AR154" s="104"/>
      <c r="AS154" s="104"/>
      <c r="AT154" s="104"/>
      <c r="AU154" s="104"/>
      <c r="AV154" s="104"/>
      <c r="AW154" s="104"/>
      <c r="AX154" s="104"/>
      <c r="AY154" s="104"/>
      <c r="AZ154" s="104"/>
      <c r="BA154" s="104"/>
      <c r="BB154" s="104"/>
      <c r="BC154" s="109"/>
      <c r="BK154" s="65"/>
    </row>
    <row r="155" spans="1:63" s="51" customFormat="1">
      <c r="H155" s="104"/>
      <c r="I155" s="104"/>
      <c r="J155" s="104"/>
      <c r="K155" s="104"/>
      <c r="L155" s="104"/>
      <c r="M155" s="104"/>
      <c r="N155" s="104"/>
      <c r="O155" s="104"/>
      <c r="P155" s="104"/>
      <c r="Q155" s="104"/>
      <c r="R155" s="104"/>
      <c r="S155" s="104"/>
      <c r="T155" s="104"/>
      <c r="U155" s="104"/>
      <c r="V155" s="104"/>
      <c r="W155" s="104"/>
      <c r="X155" s="104"/>
      <c r="Y155" s="104"/>
      <c r="Z155" s="104"/>
      <c r="AA155" s="104"/>
      <c r="AB155" s="104"/>
      <c r="AC155" s="104"/>
      <c r="AD155" s="104"/>
      <c r="AE155" s="104"/>
      <c r="AF155" s="104"/>
      <c r="AG155" s="104"/>
      <c r="AH155" s="104"/>
      <c r="AI155" s="104"/>
      <c r="AJ155" s="104"/>
      <c r="AK155" s="104"/>
      <c r="AL155" s="104"/>
      <c r="AM155" s="104"/>
      <c r="AN155" s="104"/>
      <c r="AO155" s="104"/>
      <c r="AP155" s="104"/>
      <c r="AQ155" s="104"/>
      <c r="AR155" s="104"/>
      <c r="AS155" s="104"/>
      <c r="AT155" s="104"/>
      <c r="AU155" s="104"/>
      <c r="AV155" s="104"/>
      <c r="AW155" s="104"/>
      <c r="AX155" s="104"/>
      <c r="AY155" s="104"/>
      <c r="AZ155" s="104"/>
      <c r="BA155" s="104"/>
      <c r="BB155" s="104"/>
      <c r="BC155" s="109"/>
      <c r="BK155" s="65"/>
    </row>
    <row r="156" spans="1:63" s="51" customFormat="1">
      <c r="H156" s="104"/>
      <c r="I156" s="104"/>
      <c r="J156" s="104"/>
      <c r="K156" s="104"/>
      <c r="L156" s="104"/>
      <c r="M156" s="104"/>
      <c r="N156" s="104"/>
      <c r="O156" s="104"/>
      <c r="P156" s="104"/>
      <c r="Q156" s="104"/>
      <c r="R156" s="104"/>
      <c r="S156" s="104"/>
      <c r="T156" s="104"/>
      <c r="U156" s="104"/>
      <c r="V156" s="104"/>
      <c r="W156" s="104"/>
      <c r="X156" s="104"/>
      <c r="Y156" s="104"/>
      <c r="Z156" s="104"/>
      <c r="AA156" s="104"/>
      <c r="AB156" s="104"/>
      <c r="AC156" s="104"/>
      <c r="AD156" s="104"/>
      <c r="AE156" s="104"/>
      <c r="AF156" s="104"/>
      <c r="AG156" s="104"/>
      <c r="AH156" s="104"/>
      <c r="AI156" s="104"/>
      <c r="AJ156" s="104"/>
      <c r="AK156" s="104"/>
      <c r="AL156" s="104"/>
      <c r="AM156" s="104"/>
      <c r="AN156" s="104"/>
      <c r="AO156" s="104"/>
      <c r="AP156" s="104"/>
      <c r="AQ156" s="104"/>
      <c r="AR156" s="104"/>
      <c r="AS156" s="104"/>
      <c r="AT156" s="104"/>
      <c r="AU156" s="104"/>
      <c r="AV156" s="104"/>
      <c r="AW156" s="104"/>
      <c r="AX156" s="104"/>
      <c r="AY156" s="104"/>
      <c r="AZ156" s="104"/>
      <c r="BA156" s="104"/>
      <c r="BB156" s="104"/>
      <c r="BC156" s="109"/>
      <c r="BK156" s="65"/>
    </row>
    <row r="157" spans="1:63" s="51" customFormat="1">
      <c r="H157" s="104"/>
      <c r="I157" s="104"/>
      <c r="J157" s="104"/>
      <c r="K157" s="104"/>
      <c r="L157" s="104"/>
      <c r="M157" s="104"/>
      <c r="N157" s="104"/>
      <c r="O157" s="104"/>
      <c r="P157" s="104"/>
      <c r="Q157" s="104"/>
      <c r="R157" s="104"/>
      <c r="S157" s="104"/>
      <c r="T157" s="104"/>
      <c r="U157" s="104"/>
      <c r="V157" s="104"/>
      <c r="W157" s="104"/>
      <c r="X157" s="104"/>
      <c r="Y157" s="104"/>
      <c r="Z157" s="104"/>
      <c r="AA157" s="104"/>
      <c r="AB157" s="104"/>
      <c r="AC157" s="104"/>
      <c r="AD157" s="104"/>
      <c r="AE157" s="104"/>
      <c r="AF157" s="104"/>
      <c r="AG157" s="104"/>
      <c r="AH157" s="104"/>
      <c r="AI157" s="104"/>
      <c r="AJ157" s="104"/>
      <c r="AK157" s="104"/>
      <c r="AL157" s="104"/>
      <c r="AM157" s="104"/>
      <c r="AN157" s="104"/>
      <c r="AO157" s="104"/>
      <c r="AP157" s="104"/>
      <c r="AQ157" s="104"/>
      <c r="AR157" s="104"/>
      <c r="AS157" s="104"/>
      <c r="AT157" s="104"/>
      <c r="AU157" s="104"/>
      <c r="AV157" s="104"/>
      <c r="AW157" s="104"/>
      <c r="AX157" s="104"/>
      <c r="AY157" s="104"/>
      <c r="AZ157" s="104"/>
      <c r="BA157" s="104"/>
      <c r="BB157" s="104"/>
      <c r="BC157" s="109"/>
      <c r="BK157" s="65"/>
    </row>
    <row r="158" spans="1:63" s="51" customFormat="1">
      <c r="H158" s="104"/>
      <c r="I158" s="104"/>
      <c r="J158" s="104"/>
      <c r="K158" s="104"/>
      <c r="L158" s="104"/>
      <c r="M158" s="104"/>
      <c r="N158" s="104"/>
      <c r="O158" s="104"/>
      <c r="P158" s="104"/>
      <c r="Q158" s="104"/>
      <c r="R158" s="104"/>
      <c r="S158" s="104"/>
      <c r="T158" s="104"/>
      <c r="U158" s="104"/>
      <c r="V158" s="104"/>
      <c r="W158" s="104"/>
      <c r="X158" s="104"/>
      <c r="Y158" s="104"/>
      <c r="Z158" s="104"/>
      <c r="AA158" s="104"/>
      <c r="AB158" s="104"/>
      <c r="AC158" s="104"/>
      <c r="AD158" s="104"/>
      <c r="AE158" s="104"/>
      <c r="AF158" s="104"/>
      <c r="AG158" s="104"/>
      <c r="AH158" s="104"/>
      <c r="AI158" s="104"/>
      <c r="AJ158" s="104"/>
      <c r="AK158" s="104"/>
      <c r="AL158" s="104"/>
      <c r="AM158" s="104"/>
      <c r="AN158" s="104"/>
      <c r="AO158" s="104"/>
      <c r="AP158" s="104"/>
      <c r="AQ158" s="104"/>
      <c r="AR158" s="104"/>
      <c r="AS158" s="104"/>
      <c r="AT158" s="104"/>
      <c r="AU158" s="104"/>
      <c r="AV158" s="104"/>
      <c r="AW158" s="104"/>
      <c r="AX158" s="104"/>
      <c r="AY158" s="104"/>
      <c r="AZ158" s="104"/>
      <c r="BA158" s="104"/>
      <c r="BB158" s="104"/>
      <c r="BC158" s="109"/>
      <c r="BK158" s="65"/>
    </row>
    <row r="159" spans="1:63" s="51" customFormat="1">
      <c r="H159" s="104"/>
      <c r="I159" s="104"/>
      <c r="J159" s="104"/>
      <c r="K159" s="104"/>
      <c r="L159" s="104"/>
      <c r="M159" s="104"/>
      <c r="N159" s="104"/>
      <c r="O159" s="104"/>
      <c r="P159" s="104"/>
      <c r="Q159" s="104"/>
      <c r="R159" s="104"/>
      <c r="S159" s="104"/>
      <c r="T159" s="104"/>
      <c r="U159" s="104"/>
      <c r="V159" s="104"/>
      <c r="W159" s="104"/>
      <c r="X159" s="104"/>
      <c r="Y159" s="104"/>
      <c r="Z159" s="104"/>
      <c r="AA159" s="104"/>
      <c r="AB159" s="104"/>
      <c r="AC159" s="104"/>
      <c r="AD159" s="104"/>
      <c r="AE159" s="104"/>
      <c r="AF159" s="104"/>
      <c r="AG159" s="104"/>
      <c r="AH159" s="104"/>
      <c r="AI159" s="104"/>
      <c r="AJ159" s="104"/>
      <c r="AK159" s="104"/>
      <c r="AL159" s="104"/>
      <c r="AM159" s="104"/>
      <c r="AN159" s="104"/>
      <c r="AO159" s="104"/>
      <c r="AP159" s="104"/>
      <c r="AQ159" s="104"/>
      <c r="AR159" s="104"/>
      <c r="AS159" s="104"/>
      <c r="AT159" s="104"/>
      <c r="AU159" s="104"/>
      <c r="AV159" s="104"/>
      <c r="AW159" s="104"/>
      <c r="AX159" s="104"/>
      <c r="AY159" s="104"/>
      <c r="AZ159" s="104"/>
      <c r="BA159" s="104"/>
      <c r="BB159" s="104"/>
      <c r="BC159" s="109"/>
      <c r="BK159" s="65"/>
    </row>
    <row r="160" spans="1:63" s="51" customFormat="1">
      <c r="H160" s="104"/>
      <c r="I160" s="104"/>
      <c r="J160" s="104"/>
      <c r="K160" s="104"/>
      <c r="L160" s="104"/>
      <c r="M160" s="104"/>
      <c r="N160" s="104"/>
      <c r="O160" s="104"/>
      <c r="P160" s="104"/>
      <c r="Q160" s="104"/>
      <c r="R160" s="104"/>
      <c r="S160" s="104"/>
      <c r="T160" s="104"/>
      <c r="U160" s="104"/>
      <c r="V160" s="104"/>
      <c r="W160" s="104"/>
      <c r="X160" s="104"/>
      <c r="Y160" s="104"/>
      <c r="Z160" s="104"/>
      <c r="AA160" s="104"/>
      <c r="AB160" s="104"/>
      <c r="AC160" s="104"/>
      <c r="AD160" s="104"/>
      <c r="AE160" s="104"/>
      <c r="AF160" s="104"/>
      <c r="AG160" s="104"/>
      <c r="AH160" s="104"/>
      <c r="AI160" s="104"/>
      <c r="AJ160" s="104"/>
      <c r="AK160" s="104"/>
      <c r="AL160" s="104"/>
      <c r="AM160" s="104"/>
      <c r="AN160" s="104"/>
      <c r="AO160" s="104"/>
      <c r="AP160" s="104"/>
      <c r="AQ160" s="104"/>
      <c r="AR160" s="104"/>
      <c r="AS160" s="104"/>
      <c r="AT160" s="104"/>
      <c r="AU160" s="104"/>
      <c r="AV160" s="104"/>
      <c r="AW160" s="104"/>
      <c r="AX160" s="104"/>
      <c r="AY160" s="104"/>
      <c r="AZ160" s="104"/>
      <c r="BA160" s="104"/>
      <c r="BB160" s="104"/>
      <c r="BC160" s="109"/>
      <c r="BK160" s="65"/>
    </row>
    <row r="161" spans="2:63" s="51" customFormat="1">
      <c r="H161" s="104"/>
      <c r="I161" s="104"/>
      <c r="J161" s="104"/>
      <c r="K161" s="104"/>
      <c r="L161" s="104"/>
      <c r="M161" s="104"/>
      <c r="N161" s="104"/>
      <c r="O161" s="104"/>
      <c r="P161" s="104"/>
      <c r="Q161" s="104"/>
      <c r="R161" s="104"/>
      <c r="S161" s="104"/>
      <c r="T161" s="104"/>
      <c r="U161" s="104"/>
      <c r="V161" s="104"/>
      <c r="W161" s="104"/>
      <c r="X161" s="104"/>
      <c r="Y161" s="104"/>
      <c r="Z161" s="104"/>
      <c r="AA161" s="104"/>
      <c r="AB161" s="104"/>
      <c r="AC161" s="104"/>
      <c r="AD161" s="104"/>
      <c r="AE161" s="104"/>
      <c r="AF161" s="104"/>
      <c r="AG161" s="104"/>
      <c r="AH161" s="104"/>
      <c r="AI161" s="104"/>
      <c r="AJ161" s="104"/>
      <c r="AK161" s="104"/>
      <c r="AL161" s="104"/>
      <c r="AM161" s="104"/>
      <c r="AN161" s="104"/>
      <c r="AO161" s="104"/>
      <c r="AP161" s="104"/>
      <c r="AQ161" s="104"/>
      <c r="AR161" s="104"/>
      <c r="AS161" s="104"/>
      <c r="AT161" s="104"/>
      <c r="AU161" s="104"/>
      <c r="AV161" s="104"/>
      <c r="AW161" s="104"/>
      <c r="AX161" s="104"/>
      <c r="AY161" s="104"/>
      <c r="AZ161" s="104"/>
      <c r="BA161" s="104"/>
      <c r="BB161" s="104"/>
      <c r="BC161" s="109"/>
      <c r="BK161" s="65"/>
    </row>
    <row r="162" spans="2:63" s="51" customFormat="1">
      <c r="H162" s="104"/>
      <c r="I162" s="104"/>
      <c r="J162" s="104"/>
      <c r="K162" s="104"/>
      <c r="L162" s="104"/>
      <c r="M162" s="104"/>
      <c r="N162" s="104"/>
      <c r="O162" s="104"/>
      <c r="P162" s="104"/>
      <c r="Q162" s="104"/>
      <c r="R162" s="104"/>
      <c r="S162" s="104"/>
      <c r="T162" s="104"/>
      <c r="U162" s="104"/>
      <c r="V162" s="104"/>
      <c r="W162" s="104"/>
      <c r="X162" s="104"/>
      <c r="Y162" s="104"/>
      <c r="Z162" s="104"/>
      <c r="AA162" s="104"/>
      <c r="AB162" s="104"/>
      <c r="AC162" s="104"/>
      <c r="AD162" s="104"/>
      <c r="AE162" s="104"/>
      <c r="AF162" s="104"/>
      <c r="AG162" s="104"/>
      <c r="AH162" s="104"/>
      <c r="AI162" s="104"/>
      <c r="AJ162" s="104"/>
      <c r="AK162" s="104"/>
      <c r="AL162" s="104"/>
      <c r="AM162" s="104"/>
      <c r="AN162" s="104"/>
      <c r="AO162" s="104"/>
      <c r="AP162" s="104"/>
      <c r="AQ162" s="104"/>
      <c r="AR162" s="104"/>
      <c r="AS162" s="104"/>
      <c r="AT162" s="104"/>
      <c r="AU162" s="104"/>
      <c r="AV162" s="104"/>
      <c r="AW162" s="104"/>
      <c r="AX162" s="104"/>
      <c r="AY162" s="104"/>
      <c r="AZ162" s="104"/>
      <c r="BA162" s="104"/>
      <c r="BB162" s="104"/>
      <c r="BC162" s="109"/>
      <c r="BK162" s="65"/>
    </row>
    <row r="163" spans="2:63" s="51" customFormat="1">
      <c r="H163" s="104"/>
      <c r="I163" s="104"/>
      <c r="J163" s="104"/>
      <c r="K163" s="104"/>
      <c r="L163" s="104"/>
      <c r="M163" s="104"/>
      <c r="N163" s="104"/>
      <c r="O163" s="104"/>
      <c r="P163" s="104"/>
      <c r="Q163" s="104"/>
      <c r="R163" s="104"/>
      <c r="S163" s="104"/>
      <c r="T163" s="104"/>
      <c r="U163" s="104"/>
      <c r="V163" s="104"/>
      <c r="W163" s="104"/>
      <c r="X163" s="104"/>
      <c r="Y163" s="104"/>
      <c r="Z163" s="104"/>
      <c r="AA163" s="104"/>
      <c r="AB163" s="104"/>
      <c r="AC163" s="104"/>
      <c r="AD163" s="104"/>
      <c r="AE163" s="104"/>
      <c r="AF163" s="104"/>
      <c r="AG163" s="104"/>
      <c r="AH163" s="104"/>
      <c r="AI163" s="104"/>
      <c r="AJ163" s="104"/>
      <c r="AK163" s="104"/>
      <c r="AL163" s="104"/>
      <c r="AM163" s="104"/>
      <c r="AN163" s="104"/>
      <c r="AO163" s="104"/>
      <c r="AP163" s="104"/>
      <c r="AQ163" s="104"/>
      <c r="AR163" s="104"/>
      <c r="AS163" s="104"/>
      <c r="AT163" s="104"/>
      <c r="AU163" s="104"/>
      <c r="AV163" s="104"/>
      <c r="AW163" s="104"/>
      <c r="AX163" s="104"/>
      <c r="AY163" s="104"/>
      <c r="AZ163" s="104"/>
      <c r="BA163" s="104"/>
      <c r="BB163" s="104"/>
      <c r="BC163" s="109"/>
      <c r="BK163" s="65"/>
    </row>
    <row r="164" spans="2:63" s="51" customFormat="1">
      <c r="H164" s="104"/>
      <c r="I164" s="104"/>
      <c r="J164" s="104"/>
      <c r="K164" s="104"/>
      <c r="L164" s="104"/>
      <c r="M164" s="104"/>
      <c r="N164" s="104"/>
      <c r="O164" s="104"/>
      <c r="P164" s="104"/>
      <c r="Q164" s="104"/>
      <c r="R164" s="104"/>
      <c r="S164" s="104"/>
      <c r="T164" s="104"/>
      <c r="U164" s="104"/>
      <c r="V164" s="104"/>
      <c r="W164" s="104"/>
      <c r="X164" s="104"/>
      <c r="Y164" s="104"/>
      <c r="Z164" s="104"/>
      <c r="AA164" s="104"/>
      <c r="AB164" s="104"/>
      <c r="AC164" s="104"/>
      <c r="AD164" s="104"/>
      <c r="AE164" s="104"/>
      <c r="AF164" s="104"/>
      <c r="AG164" s="104"/>
      <c r="AH164" s="104"/>
      <c r="AI164" s="104"/>
      <c r="AJ164" s="104"/>
      <c r="AK164" s="104"/>
      <c r="AL164" s="104"/>
      <c r="AM164" s="104"/>
      <c r="AN164" s="104"/>
      <c r="AO164" s="104"/>
      <c r="AP164" s="104"/>
      <c r="AQ164" s="104"/>
      <c r="AR164" s="104"/>
      <c r="AS164" s="104"/>
      <c r="AT164" s="104"/>
      <c r="AU164" s="104"/>
      <c r="AV164" s="104"/>
      <c r="AW164" s="104"/>
      <c r="AX164" s="104"/>
      <c r="AY164" s="104"/>
      <c r="AZ164" s="104"/>
      <c r="BA164" s="104"/>
      <c r="BB164" s="104"/>
      <c r="BC164" s="109"/>
      <c r="BK164" s="65"/>
    </row>
    <row r="165" spans="2:63" s="51" customFormat="1">
      <c r="H165" s="104"/>
      <c r="I165" s="104"/>
      <c r="J165" s="104"/>
      <c r="K165" s="104"/>
      <c r="L165" s="104"/>
      <c r="M165" s="104"/>
      <c r="N165" s="104"/>
      <c r="O165" s="104"/>
      <c r="P165" s="104"/>
      <c r="Q165" s="104"/>
      <c r="R165" s="104"/>
      <c r="S165" s="104"/>
      <c r="T165" s="104"/>
      <c r="U165" s="104"/>
      <c r="V165" s="104"/>
      <c r="W165" s="104"/>
      <c r="X165" s="104"/>
      <c r="Y165" s="104"/>
      <c r="Z165" s="104"/>
      <c r="AA165" s="104"/>
      <c r="AB165" s="104"/>
      <c r="AC165" s="104"/>
      <c r="AD165" s="104"/>
      <c r="AE165" s="104"/>
      <c r="AF165" s="104"/>
      <c r="AG165" s="104"/>
      <c r="AH165" s="104"/>
      <c r="AI165" s="104"/>
      <c r="AJ165" s="104"/>
      <c r="AK165" s="104"/>
      <c r="AL165" s="104"/>
      <c r="AM165" s="104"/>
      <c r="AN165" s="104"/>
      <c r="AO165" s="104"/>
      <c r="AP165" s="104"/>
      <c r="AQ165" s="104"/>
      <c r="AR165" s="104"/>
      <c r="AS165" s="104"/>
      <c r="AT165" s="104"/>
      <c r="AU165" s="104"/>
      <c r="AV165" s="104"/>
      <c r="AW165" s="104"/>
      <c r="AX165" s="104"/>
      <c r="AY165" s="104"/>
      <c r="AZ165" s="104"/>
      <c r="BA165" s="104"/>
      <c r="BB165" s="104"/>
      <c r="BC165" s="109"/>
      <c r="BK165" s="65"/>
    </row>
    <row r="166" spans="2:63" s="51" customFormat="1">
      <c r="H166" s="104"/>
      <c r="I166" s="104"/>
      <c r="J166" s="104"/>
      <c r="K166" s="104"/>
      <c r="L166" s="104"/>
      <c r="M166" s="104"/>
      <c r="N166" s="104"/>
      <c r="O166" s="104"/>
      <c r="P166" s="104"/>
      <c r="Q166" s="104"/>
      <c r="R166" s="104"/>
      <c r="S166" s="104"/>
      <c r="T166" s="104"/>
      <c r="U166" s="104"/>
      <c r="V166" s="104"/>
      <c r="W166" s="104"/>
      <c r="X166" s="104"/>
      <c r="Y166" s="104"/>
      <c r="Z166" s="104"/>
      <c r="AA166" s="104"/>
      <c r="AB166" s="104"/>
      <c r="AC166" s="104"/>
      <c r="AD166" s="104"/>
      <c r="AE166" s="104"/>
      <c r="AF166" s="104"/>
      <c r="AG166" s="104"/>
      <c r="AH166" s="104"/>
      <c r="AI166" s="104"/>
      <c r="AJ166" s="104"/>
      <c r="AK166" s="104"/>
      <c r="AL166" s="104"/>
      <c r="AM166" s="104"/>
      <c r="AN166" s="104"/>
      <c r="AO166" s="104"/>
      <c r="AP166" s="104"/>
      <c r="AQ166" s="104"/>
      <c r="AR166" s="104"/>
      <c r="AS166" s="104"/>
      <c r="AT166" s="104"/>
      <c r="AU166" s="104"/>
      <c r="AV166" s="104"/>
      <c r="AW166" s="104"/>
      <c r="AX166" s="104"/>
      <c r="AY166" s="104"/>
      <c r="AZ166" s="104"/>
      <c r="BA166" s="104"/>
      <c r="BB166" s="104"/>
      <c r="BC166" s="109"/>
      <c r="BK166" s="65"/>
    </row>
    <row r="167" spans="2:63" s="51" customFormat="1">
      <c r="B167" s="51" t="s">
        <v>600</v>
      </c>
      <c r="D167" s="51">
        <v>1960</v>
      </c>
      <c r="E167" s="51">
        <v>1961</v>
      </c>
      <c r="F167" s="51">
        <v>1962</v>
      </c>
      <c r="G167" s="51">
        <v>1963</v>
      </c>
      <c r="H167" s="51">
        <v>1964</v>
      </c>
      <c r="I167" s="51">
        <v>1965</v>
      </c>
      <c r="J167" s="51">
        <v>1966</v>
      </c>
      <c r="K167" s="51">
        <v>1967</v>
      </c>
      <c r="L167" s="51">
        <v>1968</v>
      </c>
      <c r="M167" s="51">
        <v>1969</v>
      </c>
      <c r="N167" s="51">
        <v>1970</v>
      </c>
      <c r="O167" s="51">
        <v>1971</v>
      </c>
      <c r="P167" s="51">
        <v>1972</v>
      </c>
      <c r="Q167" s="51">
        <v>1973</v>
      </c>
      <c r="R167" s="51">
        <v>1974</v>
      </c>
      <c r="S167" s="51">
        <v>1975</v>
      </c>
      <c r="T167" s="51">
        <v>1976</v>
      </c>
      <c r="U167" s="51">
        <v>1977</v>
      </c>
      <c r="V167" s="51">
        <v>1978</v>
      </c>
      <c r="W167" s="51">
        <v>1979</v>
      </c>
      <c r="X167" s="51">
        <v>1980</v>
      </c>
      <c r="Y167" s="51">
        <v>1981</v>
      </c>
      <c r="Z167" s="51">
        <v>1982</v>
      </c>
      <c r="AA167" s="51">
        <v>1983</v>
      </c>
      <c r="AB167" s="51">
        <v>1984</v>
      </c>
      <c r="AC167" s="51">
        <v>1985</v>
      </c>
      <c r="AD167" s="51">
        <v>1986</v>
      </c>
      <c r="AE167" s="51">
        <v>1987</v>
      </c>
      <c r="AF167" s="51">
        <v>1988</v>
      </c>
      <c r="AG167" s="51">
        <v>1989</v>
      </c>
      <c r="AH167" s="51">
        <v>1990</v>
      </c>
      <c r="AI167" s="51">
        <v>1991</v>
      </c>
      <c r="AJ167" s="51">
        <v>1992</v>
      </c>
      <c r="AK167" s="51">
        <v>1993</v>
      </c>
      <c r="AL167" s="51">
        <v>1994</v>
      </c>
      <c r="AM167" s="51">
        <v>1995</v>
      </c>
      <c r="AN167" s="51">
        <v>1996</v>
      </c>
      <c r="AO167" s="51">
        <v>1997</v>
      </c>
      <c r="AP167" s="51">
        <v>1998</v>
      </c>
      <c r="AQ167" s="51">
        <v>1999</v>
      </c>
      <c r="AR167" s="51">
        <v>2000</v>
      </c>
      <c r="AS167" s="51">
        <v>2001</v>
      </c>
      <c r="AT167" s="51">
        <v>2002</v>
      </c>
      <c r="AU167" s="51">
        <v>2003</v>
      </c>
      <c r="AV167" s="51">
        <v>2004</v>
      </c>
      <c r="AW167" s="51">
        <v>2005</v>
      </c>
      <c r="AX167" s="51">
        <v>2006</v>
      </c>
      <c r="AY167" s="51">
        <v>2007</v>
      </c>
      <c r="AZ167" s="51">
        <v>2008</v>
      </c>
      <c r="BA167" s="51">
        <v>2009</v>
      </c>
      <c r="BB167" s="51">
        <v>2010</v>
      </c>
      <c r="BC167" s="51">
        <v>2011</v>
      </c>
      <c r="BD167" s="51">
        <v>2012</v>
      </c>
      <c r="BE167" s="51">
        <v>2013</v>
      </c>
      <c r="BF167" s="51">
        <v>2014</v>
      </c>
      <c r="BG167" s="51">
        <v>2015</v>
      </c>
      <c r="BH167" s="51">
        <v>2016</v>
      </c>
      <c r="BI167" s="51">
        <v>2017</v>
      </c>
      <c r="BJ167" s="51">
        <v>2018</v>
      </c>
      <c r="BK167" s="51">
        <v>2019</v>
      </c>
    </row>
    <row r="168" spans="2:63" s="51" customFormat="1">
      <c r="C168" s="272" t="s">
        <v>571</v>
      </c>
      <c r="D168" s="268">
        <f>D120-D182</f>
        <v>0.34289635456502765</v>
      </c>
      <c r="E168" s="268">
        <f t="shared" ref="E168:BK168" si="48">E120-E182</f>
        <v>0.40675655778382946</v>
      </c>
      <c r="F168" s="268">
        <f t="shared" si="48"/>
        <v>0.45828547809890807</v>
      </c>
      <c r="G168" s="268">
        <f t="shared" si="48"/>
        <v>0.52345802191735658</v>
      </c>
      <c r="H168" s="268">
        <f t="shared" si="48"/>
        <v>0.61414990898987298</v>
      </c>
      <c r="I168" s="268">
        <f t="shared" si="48"/>
        <v>0.67512072885784846</v>
      </c>
      <c r="J168" s="268">
        <f t="shared" si="48"/>
        <v>0.74808721858268257</v>
      </c>
      <c r="K168" s="268">
        <f t="shared" si="48"/>
        <v>0.80760780991543868</v>
      </c>
      <c r="L168" s="268">
        <f t="shared" si="48"/>
        <v>0.87675171254281281</v>
      </c>
      <c r="M168" s="268">
        <f t="shared" si="48"/>
        <v>0.93795677485925921</v>
      </c>
      <c r="N168" s="268">
        <f t="shared" si="48"/>
        <v>0.98195575818600389</v>
      </c>
      <c r="O168" s="268">
        <f t="shared" si="48"/>
        <v>1.0629625989407998</v>
      </c>
      <c r="P168" s="268">
        <f t="shared" si="48"/>
        <v>1.1132779261210999</v>
      </c>
      <c r="Q168" s="268">
        <f t="shared" si="48"/>
        <v>1.2039288136704442</v>
      </c>
      <c r="R168" s="268">
        <f t="shared" si="48"/>
        <v>1.1742001895806169</v>
      </c>
      <c r="S168" s="268">
        <f t="shared" si="48"/>
        <v>1.2137793863907973</v>
      </c>
      <c r="T168" s="268">
        <f t="shared" si="48"/>
        <v>1.2551063016266824</v>
      </c>
      <c r="U168" s="268">
        <f t="shared" si="48"/>
        <v>1.3100775240056493</v>
      </c>
      <c r="V168" s="268">
        <f t="shared" si="48"/>
        <v>1.3257982340421535</v>
      </c>
      <c r="W168" s="268">
        <f t="shared" si="48"/>
        <v>1.3094113308625737</v>
      </c>
      <c r="X168" s="268">
        <f t="shared" si="48"/>
        <v>1.4016837490714522</v>
      </c>
      <c r="Y168" s="268">
        <f t="shared" si="48"/>
        <v>1.4552360062072012</v>
      </c>
      <c r="Z168" s="268">
        <f t="shared" si="48"/>
        <v>1.5817179350512163</v>
      </c>
      <c r="AA168" s="268">
        <f t="shared" si="48"/>
        <v>1.6817454324950347</v>
      </c>
      <c r="AB168" s="268">
        <f t="shared" si="48"/>
        <v>1.8890511235192378</v>
      </c>
      <c r="AC168" s="268">
        <f t="shared" si="48"/>
        <v>2.0659794108926235</v>
      </c>
      <c r="AD168" s="268">
        <f t="shared" si="48"/>
        <v>2.3633920391577874</v>
      </c>
      <c r="AE168" s="268">
        <f t="shared" si="48"/>
        <v>3.6282401464071654</v>
      </c>
      <c r="AF168" s="268">
        <f t="shared" si="48"/>
        <v>4.4290161024142947</v>
      </c>
      <c r="AG168" s="268">
        <f t="shared" si="48"/>
        <v>6.595375043943335</v>
      </c>
      <c r="AH168" s="268">
        <f t="shared" si="48"/>
        <v>10.442655160633393</v>
      </c>
      <c r="AI168" s="268">
        <f t="shared" si="48"/>
        <v>11.824340517232599</v>
      </c>
      <c r="AJ168" s="268">
        <f t="shared" si="48"/>
        <v>14.738934469554351</v>
      </c>
      <c r="AK168" s="268">
        <f t="shared" si="48"/>
        <v>18.613616720841719</v>
      </c>
      <c r="AL168" s="268">
        <f t="shared" si="48"/>
        <v>25.029114513275346</v>
      </c>
      <c r="AM168" s="268">
        <f t="shared" si="48"/>
        <v>30.105540221242762</v>
      </c>
      <c r="AN168" s="268">
        <f t="shared" si="48"/>
        <v>34.0015376481619</v>
      </c>
      <c r="AO168" s="268">
        <f t="shared" si="48"/>
        <v>37.408933813322903</v>
      </c>
      <c r="AP168" s="268">
        <f t="shared" si="48"/>
        <v>39.409438371253003</v>
      </c>
      <c r="AQ168" s="268">
        <f t="shared" si="48"/>
        <v>43.018700068537726</v>
      </c>
      <c r="AR168" s="268">
        <f t="shared" si="48"/>
        <v>44.821023841840002</v>
      </c>
      <c r="AS168" s="268">
        <f t="shared" si="48"/>
        <v>48.899939404576742</v>
      </c>
      <c r="AT168" s="268">
        <f t="shared" si="48"/>
        <v>54.820744555635002</v>
      </c>
      <c r="AU168" s="268">
        <f t="shared" si="48"/>
        <v>60.32695850549257</v>
      </c>
      <c r="AV168" s="268">
        <f t="shared" si="48"/>
        <v>66.246130480034878</v>
      </c>
      <c r="AW168" s="268">
        <f t="shared" si="48"/>
        <v>72.222843741917558</v>
      </c>
      <c r="AX168" s="268">
        <f t="shared" si="48"/>
        <v>80.080698158501008</v>
      </c>
      <c r="AY168" s="268">
        <f t="shared" si="48"/>
        <v>85.910656101565309</v>
      </c>
      <c r="AZ168" s="268">
        <f t="shared" si="48"/>
        <v>91.197539634560883</v>
      </c>
      <c r="BA168" s="268">
        <f t="shared" si="48"/>
        <v>95.374233790961853</v>
      </c>
      <c r="BB168" s="268">
        <f t="shared" si="48"/>
        <v>100.12314807281268</v>
      </c>
      <c r="BC168" s="268">
        <f t="shared" si="48"/>
        <v>107.25280229502584</v>
      </c>
      <c r="BD168" s="268">
        <f t="shared" si="48"/>
        <v>114.26137723519324</v>
      </c>
      <c r="BE168" s="268">
        <f t="shared" si="48"/>
        <v>119.68153606579386</v>
      </c>
      <c r="BF168" s="268">
        <f t="shared" si="48"/>
        <v>126.59480244018597</v>
      </c>
      <c r="BG168" s="268">
        <f t="shared" si="48"/>
        <v>132.92387646583711</v>
      </c>
      <c r="BH168" s="268">
        <f t="shared" si="48"/>
        <v>139.4437580869249</v>
      </c>
      <c r="BI168" s="268">
        <f t="shared" si="48"/>
        <v>143.94005559001346</v>
      </c>
      <c r="BJ168" s="268">
        <f t="shared" si="48"/>
        <v>145.75024840342149</v>
      </c>
      <c r="BK168" s="268">
        <f t="shared" si="48"/>
        <v>0</v>
      </c>
    </row>
    <row r="169" spans="2:63" s="51" customFormat="1">
      <c r="C169" s="272" t="s">
        <v>572</v>
      </c>
      <c r="D169" s="268">
        <f>D121-D183</f>
        <v>0.98111345352686996</v>
      </c>
      <c r="E169" s="268">
        <f t="shared" ref="E169:BK169" si="49">E121-E183</f>
        <v>1.133996435559002</v>
      </c>
      <c r="F169" s="268">
        <f t="shared" si="49"/>
        <v>1.1951544488875445</v>
      </c>
      <c r="G169" s="268">
        <f t="shared" si="49"/>
        <v>1.3318070851187773</v>
      </c>
      <c r="H169" s="268">
        <f t="shared" si="49"/>
        <v>1.3711310276000113</v>
      </c>
      <c r="I169" s="268">
        <f t="shared" si="49"/>
        <v>1.4893837401650813</v>
      </c>
      <c r="J169" s="268">
        <f t="shared" si="49"/>
        <v>1.5225945677371495</v>
      </c>
      <c r="K169" s="268">
        <f t="shared" si="49"/>
        <v>1.525263720704217</v>
      </c>
      <c r="L169" s="268">
        <f t="shared" si="49"/>
        <v>1.5860329543632101</v>
      </c>
      <c r="M169" s="268">
        <f t="shared" si="49"/>
        <v>1.6841411995577076</v>
      </c>
      <c r="N169" s="268">
        <f t="shared" si="49"/>
        <v>1.7799672071334101</v>
      </c>
      <c r="O169" s="268">
        <f t="shared" si="49"/>
        <v>1.9514742611453055</v>
      </c>
      <c r="P169" s="268">
        <f t="shared" si="49"/>
        <v>2.1124498174354382</v>
      </c>
      <c r="Q169" s="268">
        <f t="shared" si="49"/>
        <v>2.3255057707573847</v>
      </c>
      <c r="R169" s="268">
        <f t="shared" si="49"/>
        <v>2.4253952912072592</v>
      </c>
      <c r="S169" s="268">
        <f t="shared" si="49"/>
        <v>2.4178020970007843</v>
      </c>
      <c r="T169" s="268">
        <f t="shared" si="49"/>
        <v>2.4352179426721197</v>
      </c>
      <c r="U169" s="268">
        <f t="shared" si="49"/>
        <v>2.6088795128929778</v>
      </c>
      <c r="V169" s="268">
        <f t="shared" si="49"/>
        <v>2.706599135674093</v>
      </c>
      <c r="W169" s="268">
        <f t="shared" si="49"/>
        <v>2.7351661375313796</v>
      </c>
      <c r="X169" s="268">
        <f t="shared" si="49"/>
        <v>2.8799851558711165</v>
      </c>
      <c r="Y169" s="268">
        <f t="shared" si="49"/>
        <v>3.0115774454001638</v>
      </c>
      <c r="Z169" s="268">
        <f t="shared" si="49"/>
        <v>3.1668398188427123</v>
      </c>
      <c r="AA169" s="268">
        <f t="shared" si="49"/>
        <v>3.2730896185810856</v>
      </c>
      <c r="AB169" s="268">
        <f t="shared" si="49"/>
        <v>3.594071819420364</v>
      </c>
      <c r="AC169" s="268">
        <f t="shared" si="49"/>
        <v>3.9332520420040105</v>
      </c>
      <c r="AD169" s="268">
        <f t="shared" si="49"/>
        <v>4.3283685177172657</v>
      </c>
      <c r="AE169" s="268">
        <f t="shared" si="49"/>
        <v>4.7441274897683368</v>
      </c>
      <c r="AF169" s="268">
        <f t="shared" si="49"/>
        <v>6.1516426303408771</v>
      </c>
      <c r="AG169" s="268">
        <f t="shared" si="49"/>
        <v>8.5779059685459735</v>
      </c>
      <c r="AH169" s="268">
        <f t="shared" si="49"/>
        <v>10.123662584505198</v>
      </c>
      <c r="AI169" s="268">
        <f t="shared" si="49"/>
        <v>11.620138408471924</v>
      </c>
      <c r="AJ169" s="268">
        <f t="shared" si="49"/>
        <v>12.624015609437983</v>
      </c>
      <c r="AK169" s="268">
        <f t="shared" si="49"/>
        <v>13.774831976804048</v>
      </c>
      <c r="AL169" s="268">
        <f t="shared" si="49"/>
        <v>15.892237911589891</v>
      </c>
      <c r="AM169" s="268">
        <f t="shared" si="49"/>
        <v>17.72746802299287</v>
      </c>
      <c r="AN169" s="268">
        <f t="shared" si="49"/>
        <v>19.416638166638037</v>
      </c>
      <c r="AO169" s="268">
        <f t="shared" si="49"/>
        <v>21.532147970541935</v>
      </c>
      <c r="AP169" s="268">
        <f t="shared" si="49"/>
        <v>23.278204720780984</v>
      </c>
      <c r="AQ169" s="268">
        <f t="shared" si="49"/>
        <v>24.954591187228733</v>
      </c>
      <c r="AR169" s="268">
        <f t="shared" si="49"/>
        <v>26.172228056528162</v>
      </c>
      <c r="AS169" s="268">
        <f t="shared" si="49"/>
        <v>27.788865858256685</v>
      </c>
      <c r="AT169" s="268">
        <f t="shared" si="49"/>
        <v>29.329867104321913</v>
      </c>
      <c r="AU169" s="268">
        <f t="shared" si="49"/>
        <v>31.620544435619188</v>
      </c>
      <c r="AV169" s="268">
        <f t="shared" si="49"/>
        <v>33.724337191450111</v>
      </c>
      <c r="AW169" s="268">
        <f t="shared" si="49"/>
        <v>35.221706779741865</v>
      </c>
      <c r="AX169" s="268">
        <f t="shared" si="49"/>
        <v>36.699022756193436</v>
      </c>
      <c r="AY169" s="268">
        <f t="shared" si="49"/>
        <v>38.902747362559296</v>
      </c>
      <c r="AZ169" s="268">
        <f t="shared" si="49"/>
        <v>38.776328333716648</v>
      </c>
      <c r="BA169" s="268">
        <f t="shared" si="49"/>
        <v>38.246447815157012</v>
      </c>
      <c r="BB169" s="268">
        <f t="shared" si="49"/>
        <v>39.198935184030603</v>
      </c>
      <c r="BC169" s="268">
        <f t="shared" si="49"/>
        <v>39.960127529492127</v>
      </c>
      <c r="BD169" s="268">
        <f t="shared" si="49"/>
        <v>40.347814504911128</v>
      </c>
      <c r="BE169" s="268">
        <f t="shared" si="49"/>
        <v>42.029662726809725</v>
      </c>
      <c r="BF169" s="268">
        <f t="shared" si="49"/>
        <v>44.890175337545166</v>
      </c>
      <c r="BG169" s="268">
        <f t="shared" si="49"/>
        <v>47.292641960730755</v>
      </c>
      <c r="BH169" s="268">
        <f t="shared" si="49"/>
        <v>50.193999244069765</v>
      </c>
      <c r="BI169" s="268">
        <f t="shared" si="49"/>
        <v>51.951848747682128</v>
      </c>
      <c r="BJ169" s="268">
        <f t="shared" si="49"/>
        <v>53.001325688975101</v>
      </c>
      <c r="BK169" s="268">
        <f t="shared" si="49"/>
        <v>0</v>
      </c>
    </row>
    <row r="170" spans="2:63" s="51" customFormat="1">
      <c r="C170" s="272" t="s">
        <v>565</v>
      </c>
      <c r="D170" s="104">
        <f t="shared" ref="D170:M170" si="50">SUM(D168:D169)</f>
        <v>1.3240098080918976</v>
      </c>
      <c r="E170" s="104">
        <f t="shared" si="50"/>
        <v>1.5407529933428314</v>
      </c>
      <c r="F170" s="104">
        <f t="shared" si="50"/>
        <v>1.6534399269864526</v>
      </c>
      <c r="G170" s="104">
        <f t="shared" si="50"/>
        <v>1.8552651070361339</v>
      </c>
      <c r="H170" s="104">
        <f t="shared" si="50"/>
        <v>1.9852809365898842</v>
      </c>
      <c r="I170" s="104">
        <f t="shared" si="50"/>
        <v>2.1645044690229298</v>
      </c>
      <c r="J170" s="104">
        <f t="shared" si="50"/>
        <v>2.2706817863198321</v>
      </c>
      <c r="K170" s="104">
        <f t="shared" si="50"/>
        <v>2.3328715306196557</v>
      </c>
      <c r="L170" s="104">
        <f t="shared" si="50"/>
        <v>2.4627846669060229</v>
      </c>
      <c r="M170" s="104">
        <f t="shared" si="50"/>
        <v>2.6220979744169668</v>
      </c>
      <c r="N170" s="104">
        <f>SUM(N168:N169)</f>
        <v>2.7619229653194139</v>
      </c>
      <c r="O170" s="104">
        <f>SUM(O168:O169)</f>
        <v>3.0144368600861053</v>
      </c>
      <c r="P170" s="104">
        <f t="shared" ref="P170:BK170" si="51">SUM(P168:P169)</f>
        <v>3.2257277435565381</v>
      </c>
      <c r="Q170" s="104">
        <f t="shared" si="51"/>
        <v>3.529434584427829</v>
      </c>
      <c r="R170" s="104">
        <f t="shared" si="51"/>
        <v>3.5995954807878761</v>
      </c>
      <c r="S170" s="104">
        <f t="shared" si="51"/>
        <v>3.6315814833915816</v>
      </c>
      <c r="T170" s="104">
        <f t="shared" si="51"/>
        <v>3.690324244298802</v>
      </c>
      <c r="U170" s="104">
        <f t="shared" si="51"/>
        <v>3.9189570368986271</v>
      </c>
      <c r="V170" s="104">
        <f t="shared" si="51"/>
        <v>4.0323973697162465</v>
      </c>
      <c r="W170" s="104">
        <f t="shared" si="51"/>
        <v>4.0445774683939533</v>
      </c>
      <c r="X170" s="104">
        <f t="shared" si="51"/>
        <v>4.2816689049425687</v>
      </c>
      <c r="Y170" s="104">
        <f t="shared" si="51"/>
        <v>4.466813451607365</v>
      </c>
      <c r="Z170" s="104">
        <f t="shared" si="51"/>
        <v>4.7485577538939285</v>
      </c>
      <c r="AA170" s="104">
        <f t="shared" si="51"/>
        <v>4.9548350510761203</v>
      </c>
      <c r="AB170" s="104">
        <f t="shared" si="51"/>
        <v>5.4831229429396018</v>
      </c>
      <c r="AC170" s="104">
        <f t="shared" si="51"/>
        <v>5.999231452896634</v>
      </c>
      <c r="AD170" s="104">
        <f t="shared" si="51"/>
        <v>6.6917605568750531</v>
      </c>
      <c r="AE170" s="104">
        <f t="shared" si="51"/>
        <v>8.3723676361755022</v>
      </c>
      <c r="AF170" s="104">
        <f t="shared" si="51"/>
        <v>10.580658732755172</v>
      </c>
      <c r="AG170" s="104">
        <f t="shared" si="51"/>
        <v>15.173281012489308</v>
      </c>
      <c r="AH170" s="104">
        <f t="shared" si="51"/>
        <v>20.566317745138591</v>
      </c>
      <c r="AI170" s="104">
        <f t="shared" si="51"/>
        <v>23.444478925704523</v>
      </c>
      <c r="AJ170" s="104">
        <f t="shared" si="51"/>
        <v>27.362950078992334</v>
      </c>
      <c r="AK170" s="104">
        <f t="shared" si="51"/>
        <v>32.388448697645771</v>
      </c>
      <c r="AL170" s="104">
        <f t="shared" si="51"/>
        <v>40.921352424865233</v>
      </c>
      <c r="AM170" s="104">
        <f t="shared" si="51"/>
        <v>47.833008244235629</v>
      </c>
      <c r="AN170" s="104">
        <f t="shared" si="51"/>
        <v>53.418175814799937</v>
      </c>
      <c r="AO170" s="104">
        <f t="shared" si="51"/>
        <v>58.941081783864838</v>
      </c>
      <c r="AP170" s="104">
        <f t="shared" si="51"/>
        <v>62.687643092033987</v>
      </c>
      <c r="AQ170" s="104">
        <f t="shared" si="51"/>
        <v>67.973291255766455</v>
      </c>
      <c r="AR170" s="104">
        <f t="shared" si="51"/>
        <v>70.993251898368158</v>
      </c>
      <c r="AS170" s="104">
        <f t="shared" si="51"/>
        <v>76.688805262833426</v>
      </c>
      <c r="AT170" s="104">
        <f t="shared" si="51"/>
        <v>84.150611659956922</v>
      </c>
      <c r="AU170" s="104">
        <f t="shared" si="51"/>
        <v>91.947502941111765</v>
      </c>
      <c r="AV170" s="104">
        <f t="shared" si="51"/>
        <v>99.970467671484982</v>
      </c>
      <c r="AW170" s="104">
        <f t="shared" si="51"/>
        <v>107.44455052165942</v>
      </c>
      <c r="AX170" s="104">
        <f t="shared" si="51"/>
        <v>116.77972091469445</v>
      </c>
      <c r="AY170" s="104">
        <f t="shared" si="51"/>
        <v>124.8134034641246</v>
      </c>
      <c r="AZ170" s="104">
        <f t="shared" si="51"/>
        <v>129.97386796827755</v>
      </c>
      <c r="BA170" s="104">
        <f t="shared" si="51"/>
        <v>133.62068160611886</v>
      </c>
      <c r="BB170" s="104">
        <f t="shared" si="51"/>
        <v>139.32208325684329</v>
      </c>
      <c r="BC170" s="104">
        <f t="shared" si="51"/>
        <v>147.21292982451797</v>
      </c>
      <c r="BD170" s="104">
        <f t="shared" si="51"/>
        <v>154.60919174010436</v>
      </c>
      <c r="BE170" s="104">
        <f t="shared" si="51"/>
        <v>161.7111987926036</v>
      </c>
      <c r="BF170" s="104">
        <f t="shared" si="51"/>
        <v>171.48497777773113</v>
      </c>
      <c r="BG170" s="104">
        <f t="shared" si="51"/>
        <v>180.21651842656786</v>
      </c>
      <c r="BH170" s="104">
        <f t="shared" si="51"/>
        <v>189.63775733099467</v>
      </c>
      <c r="BI170" s="104">
        <f t="shared" si="51"/>
        <v>195.89190433769559</v>
      </c>
      <c r="BJ170" s="104">
        <f t="shared" si="51"/>
        <v>198.7515740923966</v>
      </c>
      <c r="BK170" s="104">
        <f t="shared" si="51"/>
        <v>0</v>
      </c>
    </row>
    <row r="171" spans="2:63" s="51" customFormat="1">
      <c r="E171" s="269">
        <v>1</v>
      </c>
      <c r="F171" s="269" t="s">
        <v>566</v>
      </c>
      <c r="H171" s="270">
        <v>41888</v>
      </c>
      <c r="I171" s="271" t="s">
        <v>233</v>
      </c>
      <c r="J171" s="104"/>
      <c r="K171" s="275">
        <v>1</v>
      </c>
      <c r="L171" s="275" t="s">
        <v>85</v>
      </c>
      <c r="M171" s="104"/>
      <c r="N171" s="104"/>
      <c r="O171" s="104"/>
      <c r="P171" s="104"/>
      <c r="Q171" s="104"/>
      <c r="R171" s="104"/>
      <c r="S171" s="104"/>
      <c r="T171" s="104"/>
      <c r="U171" s="104"/>
      <c r="V171" s="104"/>
      <c r="W171" s="104"/>
      <c r="X171" s="104"/>
      <c r="Y171" s="104"/>
      <c r="Z171" s="104"/>
      <c r="AA171" s="104"/>
      <c r="AB171" s="104"/>
      <c r="AC171" s="104"/>
      <c r="AD171" s="104"/>
      <c r="AE171" s="104"/>
      <c r="AF171" s="104"/>
      <c r="AG171" s="104"/>
      <c r="AH171" s="104"/>
      <c r="AI171" s="104"/>
      <c r="AJ171" s="104"/>
      <c r="AK171" s="104"/>
      <c r="AL171" s="104"/>
      <c r="AM171" s="104"/>
      <c r="AN171" s="104"/>
      <c r="AO171" s="104"/>
      <c r="AP171" s="104"/>
      <c r="AQ171" s="104"/>
      <c r="AR171" s="104"/>
      <c r="AS171" s="104"/>
      <c r="AT171" s="104"/>
      <c r="AU171" s="104"/>
      <c r="AV171" s="104"/>
      <c r="AW171" s="104"/>
      <c r="AX171" s="104"/>
      <c r="AY171" s="104"/>
      <c r="AZ171" s="104"/>
      <c r="BA171" s="104"/>
      <c r="BB171" s="104"/>
      <c r="BC171" s="109"/>
      <c r="BK171" s="65"/>
    </row>
    <row r="172" spans="2:63" s="51" customFormat="1">
      <c r="E172" s="269">
        <v>175.96299999999999</v>
      </c>
      <c r="F172" s="269" t="s">
        <v>233</v>
      </c>
      <c r="H172" s="270">
        <v>1</v>
      </c>
      <c r="I172" s="270" t="s">
        <v>234</v>
      </c>
      <c r="J172" s="104"/>
      <c r="K172" s="275">
        <v>282.5</v>
      </c>
      <c r="L172" s="275" t="s">
        <v>86</v>
      </c>
      <c r="M172" s="104"/>
      <c r="N172" s="104"/>
      <c r="O172" s="104"/>
      <c r="P172" s="104"/>
      <c r="Q172" s="104"/>
      <c r="R172" s="104"/>
      <c r="S172" s="104"/>
      <c r="T172" s="104"/>
      <c r="U172" s="104"/>
      <c r="V172" s="104"/>
      <c r="W172" s="104"/>
      <c r="X172" s="104"/>
      <c r="Y172" s="104"/>
      <c r="Z172" s="104"/>
      <c r="AA172" s="104"/>
      <c r="AB172" s="104"/>
      <c r="AC172" s="104"/>
      <c r="AD172" s="104"/>
      <c r="AE172" s="104"/>
      <c r="AF172" s="104"/>
      <c r="AG172" s="104"/>
      <c r="AH172" s="104"/>
      <c r="AI172" s="104"/>
      <c r="AJ172" s="104"/>
      <c r="AK172" s="104"/>
      <c r="AL172" s="104"/>
      <c r="AM172" s="104"/>
      <c r="AN172" s="104"/>
      <c r="AO172" s="104"/>
      <c r="AP172" s="104"/>
      <c r="AQ172" s="104"/>
      <c r="AR172" s="104"/>
      <c r="AS172" s="104"/>
      <c r="AT172" s="104"/>
      <c r="AU172" s="104"/>
      <c r="AV172" s="104"/>
      <c r="AW172" s="104"/>
      <c r="AX172" s="104"/>
      <c r="AY172" s="104"/>
      <c r="AZ172" s="104"/>
      <c r="BA172" s="104"/>
      <c r="BB172" s="104"/>
      <c r="BC172" s="109"/>
      <c r="BK172" s="65"/>
    </row>
    <row r="173" spans="2:63" s="51" customFormat="1">
      <c r="H173" s="104"/>
      <c r="I173" s="104"/>
      <c r="K173" s="104"/>
      <c r="L173" s="104"/>
      <c r="M173" s="104"/>
      <c r="N173" s="104"/>
      <c r="O173" s="104"/>
      <c r="P173" s="104"/>
      <c r="Q173" s="104"/>
      <c r="R173" s="104"/>
      <c r="S173" s="104"/>
      <c r="T173" s="104"/>
      <c r="U173" s="104"/>
      <c r="V173" s="104"/>
      <c r="W173" s="104"/>
      <c r="X173" s="104"/>
      <c r="Y173" s="104"/>
      <c r="Z173" s="104"/>
      <c r="AA173" s="104"/>
      <c r="AB173" s="104"/>
      <c r="AC173" s="104"/>
      <c r="AD173" s="104"/>
      <c r="AE173" s="104"/>
      <c r="AF173" s="104"/>
      <c r="AG173" s="104"/>
      <c r="AH173" s="104"/>
      <c r="AI173" s="104"/>
      <c r="AJ173" s="104"/>
      <c r="AK173" s="104"/>
      <c r="AL173" s="104"/>
      <c r="AM173" s="104"/>
      <c r="AN173" s="104"/>
      <c r="AO173" s="104"/>
      <c r="AP173" s="104"/>
      <c r="AQ173" s="104"/>
      <c r="AR173" s="104"/>
      <c r="AS173" s="104"/>
      <c r="AT173" s="104"/>
      <c r="AU173" s="104"/>
      <c r="AV173" s="104"/>
      <c r="AW173" s="104"/>
      <c r="AX173" s="104"/>
      <c r="AY173" s="104"/>
      <c r="AZ173" s="104"/>
      <c r="BA173" s="104"/>
      <c r="BB173" s="104"/>
      <c r="BC173" s="109"/>
      <c r="BK173" s="65"/>
    </row>
    <row r="174" spans="2:63" s="51" customFormat="1">
      <c r="B174" s="51" t="s">
        <v>600</v>
      </c>
      <c r="G174" s="202" t="s">
        <v>244</v>
      </c>
      <c r="H174" s="104">
        <f>H171/E172</f>
        <v>238.05004461165132</v>
      </c>
      <c r="I174" s="104" t="s">
        <v>567</v>
      </c>
      <c r="K174" s="104"/>
      <c r="L174" s="104"/>
      <c r="M174" s="104"/>
      <c r="N174" s="104"/>
      <c r="O174" s="104"/>
      <c r="P174" s="104"/>
      <c r="Q174" s="104"/>
      <c r="R174" s="104"/>
      <c r="S174" s="104"/>
      <c r="T174" s="104"/>
      <c r="U174" s="104"/>
      <c r="V174" s="104"/>
      <c r="W174" s="104"/>
      <c r="X174" s="104"/>
      <c r="Y174" s="104"/>
      <c r="Z174" s="104"/>
      <c r="AA174" s="104"/>
      <c r="AB174" s="104"/>
      <c r="AC174" s="104"/>
      <c r="AD174" s="104"/>
      <c r="AE174" s="104"/>
      <c r="AF174" s="104"/>
      <c r="AG174" s="104"/>
      <c r="AH174" s="104"/>
      <c r="AI174" s="104"/>
      <c r="AJ174" s="104"/>
      <c r="AK174" s="104"/>
      <c r="AL174" s="104"/>
      <c r="AM174" s="104"/>
      <c r="AN174" s="104"/>
      <c r="AO174" s="104"/>
      <c r="AP174" s="104"/>
      <c r="AQ174" s="104"/>
      <c r="AR174" s="104"/>
      <c r="AS174" s="104"/>
      <c r="AT174" s="104"/>
      <c r="AU174" s="104"/>
      <c r="AV174" s="104"/>
      <c r="AW174" s="104"/>
      <c r="AX174" s="104"/>
      <c r="AY174" s="104"/>
      <c r="AZ174" s="104"/>
      <c r="BA174" s="104"/>
      <c r="BB174" s="104"/>
      <c r="BC174" s="109"/>
      <c r="BK174" s="65"/>
    </row>
    <row r="175" spans="2:63" s="51" customFormat="1">
      <c r="D175" s="51">
        <v>1960</v>
      </c>
      <c r="E175" s="51">
        <v>1961</v>
      </c>
      <c r="F175" s="51">
        <v>1962</v>
      </c>
      <c r="G175" s="51">
        <v>1963</v>
      </c>
      <c r="H175" s="51">
        <v>1964</v>
      </c>
      <c r="I175" s="51">
        <v>1965</v>
      </c>
      <c r="J175" s="51">
        <v>1966</v>
      </c>
      <c r="K175" s="51">
        <v>1967</v>
      </c>
      <c r="L175" s="51">
        <v>1968</v>
      </c>
      <c r="M175" s="51">
        <v>1969</v>
      </c>
      <c r="N175" s="51">
        <v>1970</v>
      </c>
      <c r="O175" s="51">
        <v>1971</v>
      </c>
      <c r="P175" s="51">
        <v>1972</v>
      </c>
      <c r="Q175" s="51">
        <v>1973</v>
      </c>
      <c r="R175" s="51">
        <v>1974</v>
      </c>
      <c r="S175" s="51">
        <v>1975</v>
      </c>
      <c r="T175" s="51">
        <v>1976</v>
      </c>
      <c r="U175" s="51">
        <v>1977</v>
      </c>
      <c r="V175" s="51">
        <v>1978</v>
      </c>
      <c r="W175" s="51">
        <v>1979</v>
      </c>
      <c r="X175" s="51">
        <v>1980</v>
      </c>
      <c r="Y175" s="51">
        <v>1981</v>
      </c>
      <c r="Z175" s="51">
        <v>1982</v>
      </c>
      <c r="AA175" s="51">
        <v>1983</v>
      </c>
      <c r="AB175" s="51">
        <v>1984</v>
      </c>
      <c r="AC175" s="51">
        <v>1985</v>
      </c>
      <c r="AD175" s="51">
        <v>1986</v>
      </c>
      <c r="AE175" s="51">
        <v>1987</v>
      </c>
      <c r="AF175" s="51">
        <v>1988</v>
      </c>
      <c r="AG175" s="51">
        <v>1989</v>
      </c>
      <c r="AH175" s="51">
        <v>1990</v>
      </c>
      <c r="AI175" s="51">
        <v>1991</v>
      </c>
      <c r="AJ175" s="51">
        <v>1992</v>
      </c>
      <c r="AK175" s="51">
        <v>1993</v>
      </c>
      <c r="AL175" s="51">
        <v>1994</v>
      </c>
      <c r="AM175" s="51">
        <v>1995</v>
      </c>
      <c r="AN175" s="51">
        <v>1996</v>
      </c>
      <c r="AO175" s="51">
        <v>1997</v>
      </c>
      <c r="AP175" s="51">
        <v>1998</v>
      </c>
      <c r="AQ175" s="51">
        <v>1999</v>
      </c>
      <c r="AR175" s="51">
        <v>2000</v>
      </c>
      <c r="AS175" s="51">
        <v>2001</v>
      </c>
      <c r="AT175" s="51">
        <v>2002</v>
      </c>
      <c r="AU175" s="51">
        <v>2003</v>
      </c>
      <c r="AV175" s="51">
        <v>2004</v>
      </c>
      <c r="AW175" s="51">
        <v>2005</v>
      </c>
      <c r="AX175" s="51">
        <v>2006</v>
      </c>
      <c r="AY175" s="51">
        <v>2007</v>
      </c>
      <c r="AZ175" s="51">
        <v>2008</v>
      </c>
      <c r="BA175" s="51">
        <v>2009</v>
      </c>
      <c r="BB175" s="51">
        <v>2010</v>
      </c>
      <c r="BC175" s="51">
        <v>2011</v>
      </c>
      <c r="BD175" s="51">
        <v>2012</v>
      </c>
      <c r="BE175" s="51">
        <v>2013</v>
      </c>
      <c r="BF175" s="51">
        <v>2014</v>
      </c>
      <c r="BG175" s="51">
        <v>2015</v>
      </c>
      <c r="BH175" s="51">
        <v>2016</v>
      </c>
      <c r="BI175" s="51">
        <v>2017</v>
      </c>
      <c r="BJ175" s="51">
        <v>2018</v>
      </c>
      <c r="BK175" s="51">
        <v>2019</v>
      </c>
    </row>
    <row r="176" spans="2:63" s="51" customFormat="1">
      <c r="C176" s="272" t="s">
        <v>564</v>
      </c>
      <c r="D176" s="268">
        <f>D227+D239</f>
        <v>0.1609918684765122</v>
      </c>
      <c r="E176" s="268">
        <f t="shared" ref="E176:BK176" si="52">E227+E239</f>
        <v>0.18128254513601966</v>
      </c>
      <c r="F176" s="268">
        <f t="shared" si="52"/>
        <v>0.19895032462737952</v>
      </c>
      <c r="G176" s="268">
        <f t="shared" si="52"/>
        <v>0.22140061375239348</v>
      </c>
      <c r="H176" s="268">
        <f t="shared" si="52"/>
        <v>0.24919170539726404</v>
      </c>
      <c r="I176" s="268">
        <f t="shared" si="52"/>
        <v>0.26945437746792777</v>
      </c>
      <c r="J176" s="268">
        <f t="shared" si="52"/>
        <v>0.28951795608062603</v>
      </c>
      <c r="K176" s="268">
        <f t="shared" si="52"/>
        <v>0.31372193707398477</v>
      </c>
      <c r="L176" s="268">
        <f t="shared" si="52"/>
        <v>0.34214340765618734</v>
      </c>
      <c r="M176" s="268">
        <f t="shared" si="52"/>
        <v>0.36553633705992539</v>
      </c>
      <c r="N176" s="268">
        <f t="shared" si="52"/>
        <v>0.36249189344659538</v>
      </c>
      <c r="O176" s="268">
        <f t="shared" si="52"/>
        <v>0.39096840649533487</v>
      </c>
      <c r="P176" s="268">
        <f t="shared" si="52"/>
        <v>0.41928062659697585</v>
      </c>
      <c r="Q176" s="268">
        <f t="shared" si="52"/>
        <v>0.46365978996339768</v>
      </c>
      <c r="R176" s="268">
        <f t="shared" si="52"/>
        <v>0.47072917798564207</v>
      </c>
      <c r="S176" s="268">
        <f t="shared" si="52"/>
        <v>0.45928481876301419</v>
      </c>
      <c r="T176" s="268">
        <f t="shared" si="52"/>
        <v>0.46335116706749901</v>
      </c>
      <c r="U176" s="268">
        <f t="shared" si="52"/>
        <v>0.49788135837437408</v>
      </c>
      <c r="V176" s="268">
        <f t="shared" si="52"/>
        <v>0.51664096505808221</v>
      </c>
      <c r="W176" s="268">
        <f t="shared" si="52"/>
        <v>0.52896943457480217</v>
      </c>
      <c r="X176" s="268">
        <f t="shared" si="52"/>
        <v>0.53639494253653308</v>
      </c>
      <c r="Y176" s="268">
        <f t="shared" si="52"/>
        <v>0.53730866451634296</v>
      </c>
      <c r="Z176" s="268">
        <f t="shared" si="52"/>
        <v>0.57234195503530105</v>
      </c>
      <c r="AA176" s="268">
        <f t="shared" si="52"/>
        <v>0.60119673819448072</v>
      </c>
      <c r="AB176" s="268">
        <f t="shared" si="52"/>
        <v>0.659597765140155</v>
      </c>
      <c r="AC176" s="268">
        <f t="shared" si="52"/>
        <v>0.71032515171759403</v>
      </c>
      <c r="AD176" s="268">
        <f t="shared" si="52"/>
        <v>0.80432940580827261</v>
      </c>
      <c r="AE176" s="268">
        <f t="shared" si="52"/>
        <v>0.95319977529562694</v>
      </c>
      <c r="AF176" s="268">
        <f t="shared" si="52"/>
        <v>1.1946054464085749</v>
      </c>
      <c r="AG176" s="268">
        <f t="shared" si="52"/>
        <v>1.800592832993515</v>
      </c>
      <c r="AH176" s="268">
        <f t="shared" si="52"/>
        <v>2.3540948432946984</v>
      </c>
      <c r="AI176" s="268">
        <f t="shared" si="52"/>
        <v>2.6794217585861135</v>
      </c>
      <c r="AJ176" s="268">
        <f t="shared" si="52"/>
        <v>3.161607283124467</v>
      </c>
      <c r="AK176" s="268">
        <f t="shared" si="52"/>
        <v>3.7453830830425563</v>
      </c>
      <c r="AL176" s="268">
        <f t="shared" si="52"/>
        <v>4.6221766955830281</v>
      </c>
      <c r="AM176" s="268">
        <f t="shared" si="52"/>
        <v>5.23130988075724</v>
      </c>
      <c r="AN176" s="268">
        <f t="shared" si="52"/>
        <v>5.9315042445602124</v>
      </c>
      <c r="AO176" s="268">
        <f t="shared" si="52"/>
        <v>6.5204189970477913</v>
      </c>
      <c r="AP176" s="268">
        <f t="shared" si="52"/>
        <v>6.7966304493271714</v>
      </c>
      <c r="AQ176" s="268">
        <f t="shared" si="52"/>
        <v>7.3222753669938667</v>
      </c>
      <c r="AR176" s="268">
        <f t="shared" si="52"/>
        <v>7.6390274517847994</v>
      </c>
      <c r="AS176" s="268">
        <f t="shared" si="52"/>
        <v>8.1068470721911776</v>
      </c>
      <c r="AT176" s="268">
        <f t="shared" si="52"/>
        <v>8.8203856737627646</v>
      </c>
      <c r="AU176" s="268">
        <f t="shared" si="52"/>
        <v>9.4942915528404743</v>
      </c>
      <c r="AV176" s="268">
        <f t="shared" si="52"/>
        <v>10.22155374857393</v>
      </c>
      <c r="AW176" s="268">
        <f t="shared" si="52"/>
        <v>11.015142499630795</v>
      </c>
      <c r="AX176" s="268">
        <f t="shared" si="52"/>
        <v>11.757625357837217</v>
      </c>
      <c r="AY176" s="268">
        <f t="shared" si="52"/>
        <v>12.537494585116617</v>
      </c>
      <c r="AZ176" s="268">
        <f t="shared" si="52"/>
        <v>12.64596816651936</v>
      </c>
      <c r="BA176" s="268">
        <f t="shared" si="52"/>
        <v>12.781142586805128</v>
      </c>
      <c r="BB176" s="268">
        <f t="shared" si="52"/>
        <v>13.190673804130256</v>
      </c>
      <c r="BC176" s="268">
        <f t="shared" si="52"/>
        <v>13.693124763772181</v>
      </c>
      <c r="BD176" s="268">
        <f t="shared" si="52"/>
        <v>14.305286622749891</v>
      </c>
      <c r="BE176" s="268">
        <f t="shared" si="52"/>
        <v>14.651172019595242</v>
      </c>
      <c r="BF176" s="268">
        <f t="shared" si="52"/>
        <v>15.224742830239091</v>
      </c>
      <c r="BG176" s="268">
        <f t="shared" si="52"/>
        <v>15.920676398378641</v>
      </c>
      <c r="BH176" s="268">
        <f t="shared" si="52"/>
        <v>16.726877159243447</v>
      </c>
      <c r="BI176" s="268">
        <f t="shared" si="52"/>
        <v>16.941490122567515</v>
      </c>
      <c r="BJ176" s="268">
        <f t="shared" si="52"/>
        <v>16.736025266402198</v>
      </c>
      <c r="BK176" s="268">
        <f t="shared" si="52"/>
        <v>0</v>
      </c>
    </row>
    <row r="177" spans="2:63" s="51" customFormat="1">
      <c r="C177" s="202" t="s">
        <v>568</v>
      </c>
      <c r="D177" s="268">
        <f>D176*$H$188</f>
        <v>42.617260101898694</v>
      </c>
      <c r="E177" s="268">
        <f t="shared" ref="E177:M177" si="53">E176*$H$188</f>
        <v>47.988544086766005</v>
      </c>
      <c r="F177" s="268">
        <f t="shared" si="53"/>
        <v>52.665502998613938</v>
      </c>
      <c r="G177" s="268">
        <f t="shared" si="53"/>
        <v>58.608472789930666</v>
      </c>
      <c r="H177" s="268">
        <f t="shared" si="53"/>
        <v>65.96524299424658</v>
      </c>
      <c r="I177" s="268">
        <f t="shared" si="53"/>
        <v>71.329113692603883</v>
      </c>
      <c r="J177" s="268">
        <f t="shared" si="53"/>
        <v>76.640280998156342</v>
      </c>
      <c r="K177" s="268">
        <f t="shared" si="53"/>
        <v>83.04748257458796</v>
      </c>
      <c r="L177" s="268">
        <f t="shared" si="53"/>
        <v>90.571124704730096</v>
      </c>
      <c r="M177" s="268">
        <f t="shared" si="53"/>
        <v>96.763627260161385</v>
      </c>
      <c r="N177" s="268">
        <f>N176*$H$188</f>
        <v>95.957711740559972</v>
      </c>
      <c r="O177" s="268">
        <f>O176*$H$188</f>
        <v>103.49592453899271</v>
      </c>
      <c r="P177" s="268">
        <f t="shared" ref="P177:BK177" si="54">P176*$H$188</f>
        <v>110.99064622619315</v>
      </c>
      <c r="Q177" s="268">
        <f t="shared" si="54"/>
        <v>122.73855850393274</v>
      </c>
      <c r="R177" s="268">
        <f t="shared" si="54"/>
        <v>124.60994462396644</v>
      </c>
      <c r="S177" s="268">
        <f t="shared" si="54"/>
        <v>121.58042991427504</v>
      </c>
      <c r="T177" s="268">
        <f t="shared" si="54"/>
        <v>122.65686082346986</v>
      </c>
      <c r="U177" s="268">
        <f t="shared" si="54"/>
        <v>131.79758425390889</v>
      </c>
      <c r="V177" s="268">
        <f t="shared" si="54"/>
        <v>136.76356821952481</v>
      </c>
      <c r="W177" s="268">
        <f t="shared" si="54"/>
        <v>140.02712182023998</v>
      </c>
      <c r="X177" s="268">
        <f t="shared" si="54"/>
        <v>141.99277888844139</v>
      </c>
      <c r="Y177" s="268">
        <f t="shared" si="54"/>
        <v>142.23465649159536</v>
      </c>
      <c r="Z177" s="268">
        <f t="shared" si="54"/>
        <v>151.50855876007947</v>
      </c>
      <c r="AA177" s="268">
        <f t="shared" si="54"/>
        <v>159.1469060301346</v>
      </c>
      <c r="AB177" s="268">
        <f t="shared" si="54"/>
        <v>174.60664184856142</v>
      </c>
      <c r="AC177" s="268">
        <f t="shared" si="54"/>
        <v>188.03503577005745</v>
      </c>
      <c r="AD177" s="268">
        <f t="shared" si="54"/>
        <v>212.91954568461819</v>
      </c>
      <c r="AE177" s="268">
        <f t="shared" si="54"/>
        <v>252.32804077164775</v>
      </c>
      <c r="AF177" s="268">
        <f t="shared" si="54"/>
        <v>316.23218930567685</v>
      </c>
      <c r="AG177" s="268">
        <f t="shared" si="54"/>
        <v>476.64726068133473</v>
      </c>
      <c r="AH177" s="268">
        <f t="shared" si="54"/>
        <v>623.16856864025692</v>
      </c>
      <c r="AI177" s="268">
        <f t="shared" si="54"/>
        <v>709.28808447869426</v>
      </c>
      <c r="AJ177" s="268">
        <f t="shared" si="54"/>
        <v>836.93071706059698</v>
      </c>
      <c r="AK177" s="268">
        <f t="shared" si="54"/>
        <v>991.46600720745846</v>
      </c>
      <c r="AL177" s="268">
        <f t="shared" si="54"/>
        <v>1223.5680493473833</v>
      </c>
      <c r="AM177" s="268">
        <f t="shared" si="54"/>
        <v>1384.8158666124818</v>
      </c>
      <c r="AN177" s="268">
        <f t="shared" si="54"/>
        <v>1570.1691121301478</v>
      </c>
      <c r="AO177" s="268">
        <f t="shared" si="54"/>
        <v>1726.0647696072215</v>
      </c>
      <c r="AP177" s="268">
        <f t="shared" si="54"/>
        <v>1799.1825948508667</v>
      </c>
      <c r="AQ177" s="268">
        <f t="shared" si="54"/>
        <v>1938.3296610314851</v>
      </c>
      <c r="AR177" s="268">
        <f t="shared" si="54"/>
        <v>2022.1792747610339</v>
      </c>
      <c r="AS177" s="268">
        <f t="shared" si="54"/>
        <v>2146.019010471281</v>
      </c>
      <c r="AT177" s="268">
        <f t="shared" si="54"/>
        <v>2334.904700560392</v>
      </c>
      <c r="AU177" s="268">
        <f t="shared" si="54"/>
        <v>2513.2989412424517</v>
      </c>
      <c r="AV177" s="268">
        <f t="shared" si="54"/>
        <v>2705.8174979319933</v>
      </c>
      <c r="AW177" s="268">
        <f t="shared" si="54"/>
        <v>2915.8938113370118</v>
      </c>
      <c r="AX177" s="268">
        <f t="shared" si="54"/>
        <v>3112.4415338327026</v>
      </c>
      <c r="AY177" s="268">
        <f t="shared" si="54"/>
        <v>3318.8860581366234</v>
      </c>
      <c r="AZ177" s="268">
        <f t="shared" si="54"/>
        <v>3347.6008427811639</v>
      </c>
      <c r="BA177" s="268">
        <f t="shared" si="54"/>
        <v>3383.3837893545333</v>
      </c>
      <c r="BB177" s="268">
        <f t="shared" si="54"/>
        <v>3491.7936026808411</v>
      </c>
      <c r="BC177" s="268">
        <f t="shared" si="54"/>
        <v>3624.8008373824655</v>
      </c>
      <c r="BD177" s="268">
        <f t="shared" si="54"/>
        <v>3786.8503956328009</v>
      </c>
      <c r="BE177" s="268">
        <f t="shared" si="54"/>
        <v>3878.4120879238453</v>
      </c>
      <c r="BF177" s="268">
        <f t="shared" si="54"/>
        <v>4030.2459454682225</v>
      </c>
      <c r="BG177" s="268">
        <f t="shared" si="54"/>
        <v>4214.4712865845822</v>
      </c>
      <c r="BH177" s="268">
        <f t="shared" si="54"/>
        <v>4427.8862114827098</v>
      </c>
      <c r="BI177" s="268">
        <f t="shared" si="54"/>
        <v>4484.6978788406514</v>
      </c>
      <c r="BJ177" s="268">
        <f t="shared" si="54"/>
        <v>4430.3078695820532</v>
      </c>
      <c r="BK177" s="268">
        <f t="shared" si="54"/>
        <v>0</v>
      </c>
    </row>
    <row r="178" spans="2:63" s="203" customFormat="1">
      <c r="C178" s="273" t="s">
        <v>85</v>
      </c>
      <c r="D178" s="274">
        <f t="shared" ref="D178:M178" si="55">D170*1000/D177</f>
        <v>31.067454944925238</v>
      </c>
      <c r="E178" s="274">
        <f t="shared" si="55"/>
        <v>32.10668343171784</v>
      </c>
      <c r="F178" s="274">
        <f t="shared" si="55"/>
        <v>31.395122667488206</v>
      </c>
      <c r="G178" s="274">
        <f t="shared" si="55"/>
        <v>31.655237181933209</v>
      </c>
      <c r="H178" s="274">
        <f t="shared" si="55"/>
        <v>30.095863313397306</v>
      </c>
      <c r="I178" s="274">
        <f t="shared" si="55"/>
        <v>30.345315635785997</v>
      </c>
      <c r="J178" s="274">
        <f t="shared" si="55"/>
        <v>29.62778524225995</v>
      </c>
      <c r="K178" s="274">
        <f t="shared" si="55"/>
        <v>28.090815739350301</v>
      </c>
      <c r="L178" s="274">
        <f t="shared" si="55"/>
        <v>27.191720042507139</v>
      </c>
      <c r="M178" s="274">
        <f t="shared" si="55"/>
        <v>27.097971093695371</v>
      </c>
      <c r="N178" s="274">
        <f>N170*1000/N177</f>
        <v>28.782709750174128</v>
      </c>
      <c r="O178" s="274">
        <f>O170*1000/O177</f>
        <v>29.126140700838882</v>
      </c>
      <c r="P178" s="274">
        <f t="shared" ref="P178:BK178" si="56">P170*1000/P177</f>
        <v>29.063059394957239</v>
      </c>
      <c r="Q178" s="274">
        <f t="shared" si="56"/>
        <v>28.755711550211341</v>
      </c>
      <c r="R178" s="274">
        <f t="shared" si="56"/>
        <v>28.886903783243955</v>
      </c>
      <c r="S178" s="274">
        <f t="shared" si="56"/>
        <v>29.869786494028418</v>
      </c>
      <c r="T178" s="274">
        <f t="shared" si="56"/>
        <v>30.086570123541549</v>
      </c>
      <c r="U178" s="274">
        <f t="shared" si="56"/>
        <v>29.734665161606689</v>
      </c>
      <c r="V178" s="274">
        <f t="shared" si="56"/>
        <v>29.48444108480469</v>
      </c>
      <c r="W178" s="274">
        <f t="shared" si="56"/>
        <v>28.884243393834701</v>
      </c>
      <c r="X178" s="274">
        <f t="shared" si="56"/>
        <v>30.154131347105487</v>
      </c>
      <c r="Y178" s="274">
        <f t="shared" si="56"/>
        <v>31.404536431466045</v>
      </c>
      <c r="Z178" s="274">
        <f t="shared" si="56"/>
        <v>31.341844927806889</v>
      </c>
      <c r="AA178" s="274">
        <f t="shared" si="56"/>
        <v>31.133718993807634</v>
      </c>
      <c r="AB178" s="274">
        <f t="shared" si="56"/>
        <v>31.402716900627322</v>
      </c>
      <c r="AC178" s="274">
        <f t="shared" si="56"/>
        <v>31.904859795559155</v>
      </c>
      <c r="AD178" s="274">
        <f t="shared" si="56"/>
        <v>31.428587428920491</v>
      </c>
      <c r="AE178" s="274">
        <f t="shared" si="56"/>
        <v>33.180488425193857</v>
      </c>
      <c r="AF178" s="274">
        <f t="shared" si="56"/>
        <v>33.458512733906666</v>
      </c>
      <c r="AG178" s="274">
        <f t="shared" si="56"/>
        <v>31.833354063128649</v>
      </c>
      <c r="AH178" s="274">
        <f t="shared" si="56"/>
        <v>33.00281622035903</v>
      </c>
      <c r="AI178" s="274">
        <f t="shared" si="56"/>
        <v>33.053535564375821</v>
      </c>
      <c r="AJ178" s="274">
        <f t="shared" si="56"/>
        <v>32.694402919150058</v>
      </c>
      <c r="AK178" s="274">
        <f t="shared" si="56"/>
        <v>32.667230608208513</v>
      </c>
      <c r="AL178" s="274">
        <f t="shared" si="56"/>
        <v>33.444279986463791</v>
      </c>
      <c r="AM178" s="274">
        <f t="shared" si="56"/>
        <v>34.541060221417091</v>
      </c>
      <c r="AN178" s="274">
        <f t="shared" si="56"/>
        <v>34.020651280250263</v>
      </c>
      <c r="AO178" s="274">
        <f t="shared" si="56"/>
        <v>34.147665152378558</v>
      </c>
      <c r="AP178" s="274">
        <f t="shared" si="56"/>
        <v>34.842290755502852</v>
      </c>
      <c r="AQ178" s="274">
        <f t="shared" si="56"/>
        <v>35.067972503497863</v>
      </c>
      <c r="AR178" s="274">
        <f t="shared" si="56"/>
        <v>35.107298736783662</v>
      </c>
      <c r="AS178" s="274">
        <f t="shared" si="56"/>
        <v>35.735380203361771</v>
      </c>
      <c r="AT178" s="274">
        <f t="shared" si="56"/>
        <v>36.040276778645499</v>
      </c>
      <c r="AU178" s="274">
        <f t="shared" si="56"/>
        <v>36.584387727333947</v>
      </c>
      <c r="AV178" s="274">
        <f t="shared" si="56"/>
        <v>36.946493157018374</v>
      </c>
      <c r="AW178" s="274">
        <f t="shared" si="56"/>
        <v>36.847895524835089</v>
      </c>
      <c r="AX178" s="274">
        <f t="shared" si="56"/>
        <v>37.520293841757834</v>
      </c>
      <c r="AY178" s="274">
        <f t="shared" si="56"/>
        <v>37.607016715180826</v>
      </c>
      <c r="AZ178" s="274">
        <f t="shared" si="56"/>
        <v>38.825975399234316</v>
      </c>
      <c r="BA178" s="274">
        <f t="shared" si="56"/>
        <v>39.493208552497798</v>
      </c>
      <c r="BB178" s="274">
        <f t="shared" si="56"/>
        <v>39.899862108080534</v>
      </c>
      <c r="BC178" s="274">
        <f t="shared" si="56"/>
        <v>40.61269471864918</v>
      </c>
      <c r="BD178" s="274">
        <f t="shared" si="56"/>
        <v>40.827911215718473</v>
      </c>
      <c r="BE178" s="274">
        <f t="shared" si="56"/>
        <v>41.695208019828883</v>
      </c>
      <c r="BF178" s="274">
        <f t="shared" si="56"/>
        <v>42.549506927872734</v>
      </c>
      <c r="BG178" s="278">
        <f t="shared" si="56"/>
        <v>42.761358702390346</v>
      </c>
      <c r="BH178" s="278">
        <f t="shared" si="56"/>
        <v>42.828055707306241</v>
      </c>
      <c r="BI178" s="278">
        <f t="shared" si="56"/>
        <v>43.680067114874639</v>
      </c>
      <c r="BJ178" s="278">
        <f t="shared" si="56"/>
        <v>44.861797406225506</v>
      </c>
      <c r="BK178" s="274" t="e">
        <f t="shared" si="56"/>
        <v>#DIV/0!</v>
      </c>
    </row>
    <row r="179" spans="2:63" s="203" customFormat="1">
      <c r="C179" s="273" t="s">
        <v>86</v>
      </c>
      <c r="D179" s="274">
        <f>$K$186/D178</f>
        <v>9.0931169128852449</v>
      </c>
      <c r="E179" s="274">
        <f t="shared" ref="E179:BK179" si="57">$K$186/E178</f>
        <v>8.798791086622213</v>
      </c>
      <c r="F179" s="274">
        <f t="shared" si="57"/>
        <v>8.9982129705945706</v>
      </c>
      <c r="G179" s="274">
        <f t="shared" si="57"/>
        <v>8.9242736794666317</v>
      </c>
      <c r="H179" s="274">
        <f t="shared" si="57"/>
        <v>9.3866720837426154</v>
      </c>
      <c r="I179" s="274">
        <f t="shared" si="57"/>
        <v>9.3095093618617675</v>
      </c>
      <c r="J179" s="274">
        <f t="shared" si="57"/>
        <v>9.5349685334242498</v>
      </c>
      <c r="K179" s="274">
        <f t="shared" si="57"/>
        <v>10.056667724471493</v>
      </c>
      <c r="L179" s="274">
        <f t="shared" si="57"/>
        <v>10.389191987795739</v>
      </c>
      <c r="M179" s="274">
        <f t="shared" si="57"/>
        <v>10.425134746184987</v>
      </c>
      <c r="N179" s="274">
        <f t="shared" si="57"/>
        <v>9.8149202230096133</v>
      </c>
      <c r="O179" s="274">
        <f t="shared" si="57"/>
        <v>9.6991909399058667</v>
      </c>
      <c r="P179" s="274">
        <f t="shared" si="57"/>
        <v>9.7202430123036834</v>
      </c>
      <c r="Q179" s="274">
        <f t="shared" si="57"/>
        <v>9.8241352681089804</v>
      </c>
      <c r="R179" s="274">
        <f t="shared" si="57"/>
        <v>9.779518155347132</v>
      </c>
      <c r="S179" s="274">
        <f t="shared" si="57"/>
        <v>9.4577174181167152</v>
      </c>
      <c r="T179" s="274">
        <f t="shared" si="57"/>
        <v>9.3895714546389897</v>
      </c>
      <c r="U179" s="274">
        <f t="shared" si="57"/>
        <v>9.5006955169874647</v>
      </c>
      <c r="V179" s="274">
        <f t="shared" si="57"/>
        <v>9.5813245768321931</v>
      </c>
      <c r="W179" s="274">
        <f t="shared" si="57"/>
        <v>9.7804188999563415</v>
      </c>
      <c r="X179" s="274">
        <f t="shared" si="57"/>
        <v>9.3685338419512245</v>
      </c>
      <c r="Y179" s="274">
        <f t="shared" si="57"/>
        <v>8.9955156834267651</v>
      </c>
      <c r="Z179" s="274">
        <f t="shared" si="57"/>
        <v>9.0135089574565015</v>
      </c>
      <c r="AA179" s="274">
        <f t="shared" si="57"/>
        <v>9.0737634028298402</v>
      </c>
      <c r="AB179" s="274">
        <f t="shared" si="57"/>
        <v>8.9960369000542304</v>
      </c>
      <c r="AC179" s="274">
        <f t="shared" si="57"/>
        <v>8.854450444547048</v>
      </c>
      <c r="AD179" s="274">
        <f t="shared" si="57"/>
        <v>8.9886317875058026</v>
      </c>
      <c r="AE179" s="274">
        <f t="shared" si="57"/>
        <v>8.5140398290670873</v>
      </c>
      <c r="AF179" s="274">
        <f t="shared" si="57"/>
        <v>8.4432922122601131</v>
      </c>
      <c r="AG179" s="274">
        <f t="shared" si="57"/>
        <v>8.8743397707880529</v>
      </c>
      <c r="AH179" s="274">
        <f t="shared" si="57"/>
        <v>8.5598755607325785</v>
      </c>
      <c r="AI179" s="274">
        <f t="shared" si="57"/>
        <v>8.5467407699789497</v>
      </c>
      <c r="AJ179" s="274">
        <f t="shared" si="57"/>
        <v>8.6406226992000388</v>
      </c>
      <c r="AK179" s="274">
        <f t="shared" si="57"/>
        <v>8.6478098920639557</v>
      </c>
      <c r="AL179" s="274">
        <f t="shared" si="57"/>
        <v>8.4468853900977621</v>
      </c>
      <c r="AM179" s="274">
        <f t="shared" si="57"/>
        <v>8.1786719396886554</v>
      </c>
      <c r="AN179" s="274">
        <f t="shared" si="57"/>
        <v>8.3037798915977099</v>
      </c>
      <c r="AO179" s="274">
        <f t="shared" si="57"/>
        <v>8.27289358553179</v>
      </c>
      <c r="AP179" s="274">
        <f t="shared" si="57"/>
        <v>8.1079628771361154</v>
      </c>
      <c r="AQ179" s="274">
        <f t="shared" si="57"/>
        <v>8.0557836633361681</v>
      </c>
      <c r="AR179" s="274">
        <f t="shared" si="57"/>
        <v>8.0467597953929371</v>
      </c>
      <c r="AS179" s="274">
        <f t="shared" si="57"/>
        <v>7.9053307504315873</v>
      </c>
      <c r="AT179" s="274">
        <f t="shared" si="57"/>
        <v>7.838452566140842</v>
      </c>
      <c r="AU179" s="274">
        <f t="shared" si="57"/>
        <v>7.7218731144414026</v>
      </c>
      <c r="AV179" s="274">
        <f t="shared" si="57"/>
        <v>7.6461925303548375</v>
      </c>
      <c r="AW179" s="274">
        <f t="shared" si="57"/>
        <v>7.6666522192454112</v>
      </c>
      <c r="AX179" s="274">
        <f t="shared" si="57"/>
        <v>7.5292587310602155</v>
      </c>
      <c r="AY179" s="274">
        <f t="shared" si="57"/>
        <v>7.5118960416225518</v>
      </c>
      <c r="AZ179" s="274">
        <f t="shared" si="57"/>
        <v>7.2760567402402252</v>
      </c>
      <c r="BA179" s="274">
        <f t="shared" si="57"/>
        <v>7.1531286100615628</v>
      </c>
      <c r="BB179" s="274">
        <f t="shared" si="57"/>
        <v>7.0802249700704607</v>
      </c>
      <c r="BC179" s="274">
        <f t="shared" si="57"/>
        <v>6.955953106708705</v>
      </c>
      <c r="BD179" s="274">
        <f t="shared" si="57"/>
        <v>6.9192861350996422</v>
      </c>
      <c r="BE179" s="274">
        <f t="shared" si="57"/>
        <v>6.7753589301113983</v>
      </c>
      <c r="BF179" s="274">
        <f t="shared" si="57"/>
        <v>6.6393248805180365</v>
      </c>
      <c r="BG179" s="274">
        <f t="shared" si="57"/>
        <v>6.6064318013405021</v>
      </c>
      <c r="BH179" s="274">
        <f t="shared" si="57"/>
        <v>6.5961434703141801</v>
      </c>
      <c r="BI179" s="274">
        <f t="shared" si="57"/>
        <v>6.467480905124309</v>
      </c>
      <c r="BJ179" s="274">
        <f t="shared" si="57"/>
        <v>6.2971172876099981</v>
      </c>
      <c r="BK179" s="274" t="e">
        <f t="shared" si="57"/>
        <v>#DIV/0!</v>
      </c>
    </row>
    <row r="180" spans="2:63" s="51" customFormat="1">
      <c r="H180" s="104"/>
      <c r="I180" s="104"/>
      <c r="J180" s="104"/>
      <c r="K180" s="104"/>
      <c r="L180" s="104"/>
      <c r="M180" s="104"/>
      <c r="O180" s="104"/>
      <c r="P180" s="104"/>
      <c r="Q180" s="104"/>
      <c r="R180" s="104"/>
      <c r="S180" s="104"/>
      <c r="T180" s="104"/>
      <c r="U180" s="104"/>
      <c r="V180" s="104"/>
      <c r="W180" s="104"/>
      <c r="X180" s="104"/>
      <c r="Y180" s="104"/>
      <c r="Z180" s="104"/>
      <c r="AA180" s="104"/>
      <c r="AB180" s="104"/>
      <c r="AC180" s="104"/>
      <c r="AD180" s="104"/>
      <c r="AE180" s="104"/>
      <c r="AF180" s="104"/>
      <c r="AG180" s="104"/>
      <c r="AH180" s="104"/>
      <c r="AI180" s="104"/>
      <c r="AJ180" s="104"/>
      <c r="AK180" s="104"/>
      <c r="AL180" s="104"/>
      <c r="AM180" s="104"/>
      <c r="AN180" s="104"/>
      <c r="AO180" s="104"/>
      <c r="AP180" s="104"/>
      <c r="AQ180" s="104"/>
      <c r="AR180" s="104"/>
      <c r="AS180" s="104"/>
      <c r="AT180" s="104"/>
      <c r="AU180" s="104"/>
      <c r="AV180" s="104"/>
      <c r="AW180" s="104"/>
      <c r="AX180" s="104"/>
      <c r="AY180" s="104"/>
      <c r="AZ180" s="104"/>
      <c r="BA180" s="104"/>
      <c r="BB180" s="104"/>
      <c r="BC180" s="109"/>
      <c r="BK180" s="65"/>
    </row>
    <row r="181" spans="2:63" s="51" customFormat="1">
      <c r="B181" s="51" t="s">
        <v>569</v>
      </c>
      <c r="D181" s="51">
        <v>1960</v>
      </c>
      <c r="E181" s="51">
        <v>1961</v>
      </c>
      <c r="F181" s="51">
        <v>1962</v>
      </c>
      <c r="G181" s="51">
        <v>1963</v>
      </c>
      <c r="H181" s="51">
        <v>1964</v>
      </c>
      <c r="I181" s="51">
        <v>1965</v>
      </c>
      <c r="J181" s="51">
        <v>1966</v>
      </c>
      <c r="K181" s="51">
        <v>1967</v>
      </c>
      <c r="L181" s="51">
        <v>1968</v>
      </c>
      <c r="M181" s="51">
        <v>1969</v>
      </c>
      <c r="N181" s="51">
        <v>1970</v>
      </c>
      <c r="O181" s="51">
        <v>1971</v>
      </c>
      <c r="P181" s="51">
        <v>1972</v>
      </c>
      <c r="Q181" s="51">
        <v>1973</v>
      </c>
      <c r="R181" s="51">
        <v>1974</v>
      </c>
      <c r="S181" s="51">
        <v>1975</v>
      </c>
      <c r="T181" s="51">
        <v>1976</v>
      </c>
      <c r="U181" s="51">
        <v>1977</v>
      </c>
      <c r="V181" s="51">
        <v>1978</v>
      </c>
      <c r="W181" s="51">
        <v>1979</v>
      </c>
      <c r="X181" s="51">
        <v>1980</v>
      </c>
      <c r="Y181" s="51">
        <v>1981</v>
      </c>
      <c r="Z181" s="51">
        <v>1982</v>
      </c>
      <c r="AA181" s="51">
        <v>1983</v>
      </c>
      <c r="AB181" s="51">
        <v>1984</v>
      </c>
      <c r="AC181" s="51">
        <v>1985</v>
      </c>
      <c r="AD181" s="51">
        <v>1986</v>
      </c>
      <c r="AE181" s="51">
        <v>1987</v>
      </c>
      <c r="AF181" s="51">
        <v>1988</v>
      </c>
      <c r="AG181" s="51">
        <v>1989</v>
      </c>
      <c r="AH181" s="51">
        <v>1990</v>
      </c>
      <c r="AI181" s="51">
        <v>1991</v>
      </c>
      <c r="AJ181" s="51">
        <v>1992</v>
      </c>
      <c r="AK181" s="51">
        <v>1993</v>
      </c>
      <c r="AL181" s="51">
        <v>1994</v>
      </c>
      <c r="AM181" s="51">
        <v>1995</v>
      </c>
      <c r="AN181" s="51">
        <v>1996</v>
      </c>
      <c r="AO181" s="51">
        <v>1997</v>
      </c>
      <c r="AP181" s="51">
        <v>1998</v>
      </c>
      <c r="AQ181" s="51">
        <v>1999</v>
      </c>
      <c r="AR181" s="51">
        <v>2000</v>
      </c>
      <c r="AS181" s="51">
        <v>2001</v>
      </c>
      <c r="AT181" s="51">
        <v>2002</v>
      </c>
      <c r="AU181" s="51">
        <v>2003</v>
      </c>
      <c r="AV181" s="51">
        <v>2004</v>
      </c>
      <c r="AW181" s="51">
        <v>2005</v>
      </c>
      <c r="AX181" s="51">
        <v>2006</v>
      </c>
      <c r="AY181" s="51">
        <v>2007</v>
      </c>
      <c r="AZ181" s="51">
        <v>2008</v>
      </c>
      <c r="BA181" s="51">
        <v>2009</v>
      </c>
      <c r="BB181" s="51">
        <v>2010</v>
      </c>
      <c r="BC181" s="51">
        <v>2011</v>
      </c>
      <c r="BD181" s="51">
        <v>2012</v>
      </c>
      <c r="BE181" s="51">
        <v>2013</v>
      </c>
      <c r="BF181" s="51">
        <v>2014</v>
      </c>
      <c r="BG181" s="51">
        <v>2015</v>
      </c>
      <c r="BH181" s="51">
        <v>2016</v>
      </c>
      <c r="BI181" s="51">
        <v>2017</v>
      </c>
      <c r="BJ181" s="51">
        <v>2018</v>
      </c>
      <c r="BK181" s="51">
        <v>2019</v>
      </c>
    </row>
    <row r="182" spans="2:63" s="51" customFormat="1">
      <c r="C182" s="272" t="s">
        <v>571</v>
      </c>
      <c r="D182" s="268">
        <f t="shared" ref="D182:AI182" si="58">(D120)*(D226)/(D226+D227*1.15)</f>
        <v>41.95710364543497</v>
      </c>
      <c r="E182" s="268">
        <f t="shared" si="58"/>
        <v>47.393243442216168</v>
      </c>
      <c r="F182" s="268">
        <f t="shared" si="58"/>
        <v>51.541714521901092</v>
      </c>
      <c r="G182" s="268">
        <f t="shared" si="58"/>
        <v>56.276541978082641</v>
      </c>
      <c r="H182" s="268">
        <f t="shared" si="58"/>
        <v>65.08585009101013</v>
      </c>
      <c r="I182" s="268">
        <f t="shared" si="58"/>
        <v>71.324879271142152</v>
      </c>
      <c r="J182" s="268">
        <f t="shared" si="58"/>
        <v>77.851912781417312</v>
      </c>
      <c r="K182" s="268">
        <f t="shared" si="58"/>
        <v>83.092392190084567</v>
      </c>
      <c r="L182" s="268">
        <f t="shared" si="58"/>
        <v>87.82324828745719</v>
      </c>
      <c r="M182" s="268">
        <f t="shared" si="58"/>
        <v>90.962043225140746</v>
      </c>
      <c r="N182" s="268">
        <f t="shared" si="58"/>
        <v>95.318044241813993</v>
      </c>
      <c r="O182" s="268">
        <f t="shared" si="58"/>
        <v>101.53703740105919</v>
      </c>
      <c r="P182" s="268">
        <f t="shared" si="58"/>
        <v>107.48672207387889</v>
      </c>
      <c r="Q182" s="268">
        <f t="shared" si="58"/>
        <v>113.09607118632955</v>
      </c>
      <c r="R182" s="268">
        <f t="shared" si="58"/>
        <v>110.62579981041938</v>
      </c>
      <c r="S182" s="268">
        <f t="shared" si="58"/>
        <v>111.5862206136092</v>
      </c>
      <c r="T182" s="268">
        <f t="shared" si="58"/>
        <v>117.04489369837331</v>
      </c>
      <c r="U182" s="268">
        <f t="shared" si="58"/>
        <v>119.28992247599435</v>
      </c>
      <c r="V182" s="268">
        <f t="shared" si="58"/>
        <v>124.47420176595784</v>
      </c>
      <c r="W182" s="268">
        <f t="shared" si="58"/>
        <v>123.89058866913743</v>
      </c>
      <c r="X182" s="268">
        <f t="shared" si="58"/>
        <v>132.19831625092854</v>
      </c>
      <c r="Y182" s="268">
        <f t="shared" si="58"/>
        <v>134.9447639937928</v>
      </c>
      <c r="Z182" s="268">
        <f t="shared" si="58"/>
        <v>139.61828206494877</v>
      </c>
      <c r="AA182" s="268">
        <f t="shared" si="58"/>
        <v>142.01825456750495</v>
      </c>
      <c r="AB182" s="268">
        <f t="shared" si="58"/>
        <v>149.71094887648076</v>
      </c>
      <c r="AC182" s="268">
        <f t="shared" si="58"/>
        <v>153.63402058910737</v>
      </c>
      <c r="AD182" s="268">
        <f t="shared" si="58"/>
        <v>161.93660796084222</v>
      </c>
      <c r="AE182" s="268">
        <f t="shared" si="58"/>
        <v>173.17175985359285</v>
      </c>
      <c r="AF182" s="268">
        <f t="shared" si="58"/>
        <v>185.37098389758572</v>
      </c>
      <c r="AG182" s="268">
        <f t="shared" si="58"/>
        <v>199.30462495605667</v>
      </c>
      <c r="AH182" s="268">
        <f t="shared" si="58"/>
        <v>198.2573448393666</v>
      </c>
      <c r="AI182" s="268">
        <f t="shared" si="58"/>
        <v>196.47565948276741</v>
      </c>
      <c r="AJ182" s="268">
        <f t="shared" ref="AJ182:BK182" si="59">(AJ120)*(AJ226)/(AJ226+AJ227*1.15)</f>
        <v>195.26106553044565</v>
      </c>
      <c r="AK182" s="268">
        <f t="shared" si="59"/>
        <v>191.48638327915828</v>
      </c>
      <c r="AL182" s="268">
        <f t="shared" si="59"/>
        <v>189.37088548672466</v>
      </c>
      <c r="AM182" s="268">
        <f t="shared" si="59"/>
        <v>188.09445977875723</v>
      </c>
      <c r="AN182" s="268">
        <f t="shared" si="59"/>
        <v>189.59846235183809</v>
      </c>
      <c r="AO182" s="268">
        <f t="shared" si="59"/>
        <v>189.89106618667711</v>
      </c>
      <c r="AP182" s="268">
        <f t="shared" si="59"/>
        <v>190.89056162874701</v>
      </c>
      <c r="AQ182" s="268">
        <f t="shared" si="59"/>
        <v>191.48129993146227</v>
      </c>
      <c r="AR182" s="268">
        <f t="shared" si="59"/>
        <v>188.87897615815999</v>
      </c>
      <c r="AS182" s="268">
        <f t="shared" si="59"/>
        <v>188.00006059542326</v>
      </c>
      <c r="AT182" s="268">
        <f t="shared" si="59"/>
        <v>187.87925544436499</v>
      </c>
      <c r="AU182" s="268">
        <f t="shared" si="59"/>
        <v>181.97304149450744</v>
      </c>
      <c r="AV182" s="268">
        <f t="shared" si="59"/>
        <v>178.75386951996512</v>
      </c>
      <c r="AW182" s="268">
        <f t="shared" si="59"/>
        <v>171.77715625808244</v>
      </c>
      <c r="AX182" s="268">
        <f t="shared" si="59"/>
        <v>166.819301841499</v>
      </c>
      <c r="AY182" s="268">
        <f t="shared" si="59"/>
        <v>161.3893438984347</v>
      </c>
      <c r="AZ182" s="268">
        <f t="shared" si="59"/>
        <v>154.20246036543912</v>
      </c>
      <c r="BA182" s="268">
        <f t="shared" si="59"/>
        <v>149.42576620903816</v>
      </c>
      <c r="BB182" s="268">
        <f t="shared" si="59"/>
        <v>141.77685192718732</v>
      </c>
      <c r="BC182" s="268">
        <f t="shared" si="59"/>
        <v>137.04719770497417</v>
      </c>
      <c r="BD182" s="268">
        <f t="shared" si="59"/>
        <v>131.23862276480676</v>
      </c>
      <c r="BE182" s="268">
        <f t="shared" si="59"/>
        <v>126.91846393420613</v>
      </c>
      <c r="BF182" s="268">
        <f t="shared" si="59"/>
        <v>126.90519755981403</v>
      </c>
      <c r="BG182" s="268">
        <f t="shared" si="59"/>
        <v>125.17612353416293</v>
      </c>
      <c r="BH182" s="268">
        <f t="shared" si="59"/>
        <v>124.45624191307509</v>
      </c>
      <c r="BI182" s="268">
        <f t="shared" si="59"/>
        <v>125.05994440998653</v>
      </c>
      <c r="BJ182" s="268">
        <f t="shared" si="59"/>
        <v>126.5497515965785</v>
      </c>
      <c r="BK182" s="268">
        <f t="shared" si="59"/>
        <v>0</v>
      </c>
    </row>
    <row r="183" spans="2:63" s="51" customFormat="1">
      <c r="C183" s="272" t="s">
        <v>572</v>
      </c>
      <c r="D183" s="268">
        <f t="shared" ref="D183:AI183" si="60">D121*D238/(D238+D239*1.15)</f>
        <v>8.3188865464731307</v>
      </c>
      <c r="E183" s="268">
        <f t="shared" si="60"/>
        <v>9.0660035644409973</v>
      </c>
      <c r="F183" s="268">
        <f t="shared" si="60"/>
        <v>9.1048455511124562</v>
      </c>
      <c r="G183" s="268">
        <f t="shared" si="60"/>
        <v>9.568192914881223</v>
      </c>
      <c r="H183" s="268">
        <f t="shared" si="60"/>
        <v>9.6288689723999887</v>
      </c>
      <c r="I183" s="268">
        <f t="shared" si="60"/>
        <v>10.310616259834919</v>
      </c>
      <c r="J183" s="268">
        <f t="shared" si="60"/>
        <v>10.277405432262851</v>
      </c>
      <c r="K183" s="268">
        <f t="shared" si="60"/>
        <v>10.074736279295783</v>
      </c>
      <c r="L183" s="268">
        <f t="shared" si="60"/>
        <v>10.113967045636789</v>
      </c>
      <c r="M183" s="268">
        <f t="shared" si="60"/>
        <v>10.315858800442292</v>
      </c>
      <c r="N183" s="268">
        <f t="shared" si="60"/>
        <v>10.82003279286659</v>
      </c>
      <c r="O183" s="268">
        <f t="shared" si="60"/>
        <v>11.248525738854694</v>
      </c>
      <c r="P183" s="268">
        <f t="shared" si="60"/>
        <v>11.687550182564562</v>
      </c>
      <c r="Q183" s="268">
        <f t="shared" si="60"/>
        <v>12.174494229242615</v>
      </c>
      <c r="R183" s="268">
        <f t="shared" si="60"/>
        <v>12.27460470879274</v>
      </c>
      <c r="S183" s="268">
        <f t="shared" si="60"/>
        <v>12.182197902999215</v>
      </c>
      <c r="T183" s="268">
        <f t="shared" si="60"/>
        <v>12.56478205732788</v>
      </c>
      <c r="U183" s="268">
        <f t="shared" si="60"/>
        <v>12.591120487107021</v>
      </c>
      <c r="V183" s="268">
        <f t="shared" si="60"/>
        <v>12.993400864325906</v>
      </c>
      <c r="W183" s="268">
        <f t="shared" si="60"/>
        <v>12.86483386246862</v>
      </c>
      <c r="X183" s="268">
        <f t="shared" si="60"/>
        <v>13.320014844128883</v>
      </c>
      <c r="Y183" s="268">
        <f t="shared" si="60"/>
        <v>13.288422554599837</v>
      </c>
      <c r="Z183" s="268">
        <f t="shared" si="60"/>
        <v>13.033160181157287</v>
      </c>
      <c r="AA183" s="268">
        <f t="shared" si="60"/>
        <v>12.926910381418914</v>
      </c>
      <c r="AB183" s="268">
        <f t="shared" si="60"/>
        <v>13.505928180579637</v>
      </c>
      <c r="AC183" s="268">
        <f t="shared" si="60"/>
        <v>13.86674795799599</v>
      </c>
      <c r="AD183" s="268">
        <f t="shared" si="60"/>
        <v>14.271631482282736</v>
      </c>
      <c r="AE183" s="268">
        <f t="shared" si="60"/>
        <v>15.555872510231664</v>
      </c>
      <c r="AF183" s="268">
        <f t="shared" si="60"/>
        <v>16.348357369659123</v>
      </c>
      <c r="AG183" s="268">
        <f t="shared" si="60"/>
        <v>16.122094031454026</v>
      </c>
      <c r="AH183" s="268">
        <f t="shared" si="60"/>
        <v>14.676337415494803</v>
      </c>
      <c r="AI183" s="268">
        <f t="shared" si="60"/>
        <v>14.279861591528075</v>
      </c>
      <c r="AJ183" s="268">
        <f t="shared" ref="AJ183:BK183" si="61">AJ121*AJ238/(AJ238+AJ239*1.15)</f>
        <v>12.975984390562019</v>
      </c>
      <c r="AK183" s="268">
        <f t="shared" si="61"/>
        <v>12.025168023195953</v>
      </c>
      <c r="AL183" s="268">
        <f t="shared" si="61"/>
        <v>11.007762088410107</v>
      </c>
      <c r="AM183" s="268">
        <f t="shared" si="61"/>
        <v>9.9725319770071295</v>
      </c>
      <c r="AN183" s="268">
        <f t="shared" si="61"/>
        <v>9.2833618333619601</v>
      </c>
      <c r="AO183" s="268">
        <f t="shared" si="61"/>
        <v>8.6678520294580661</v>
      </c>
      <c r="AP183" s="268">
        <f t="shared" si="61"/>
        <v>8.3217952792190175</v>
      </c>
      <c r="AQ183" s="268">
        <f t="shared" si="61"/>
        <v>7.1454088127712678</v>
      </c>
      <c r="AR183" s="268">
        <f t="shared" si="61"/>
        <v>6.2277719434718355</v>
      </c>
      <c r="AS183" s="268">
        <f t="shared" si="61"/>
        <v>5.4111341417433172</v>
      </c>
      <c r="AT183" s="268">
        <f t="shared" si="61"/>
        <v>4.6701328956780852</v>
      </c>
      <c r="AU183" s="268">
        <f t="shared" si="61"/>
        <v>4.0794555643808144</v>
      </c>
      <c r="AV183" s="268">
        <f t="shared" si="61"/>
        <v>3.6756628085498897</v>
      </c>
      <c r="AW183" s="268">
        <f t="shared" si="61"/>
        <v>3.1782932202581367</v>
      </c>
      <c r="AX183" s="268">
        <f t="shared" si="61"/>
        <v>3.2009772438065602</v>
      </c>
      <c r="AY183" s="268">
        <f t="shared" si="61"/>
        <v>2.9972526374407051</v>
      </c>
      <c r="AZ183" s="268">
        <f t="shared" si="61"/>
        <v>2.8236716662833494</v>
      </c>
      <c r="BA183" s="268">
        <f t="shared" si="61"/>
        <v>2.4535521848429904</v>
      </c>
      <c r="BB183" s="268">
        <f t="shared" si="61"/>
        <v>2.201064815969398</v>
      </c>
      <c r="BC183" s="268">
        <f t="shared" si="61"/>
        <v>2.0398724705078761</v>
      </c>
      <c r="BD183" s="268">
        <f t="shared" si="61"/>
        <v>1.8521854950888763</v>
      </c>
      <c r="BE183" s="268">
        <f t="shared" si="61"/>
        <v>1.7703372731902738</v>
      </c>
      <c r="BF183" s="268">
        <f t="shared" si="61"/>
        <v>1.7098246624548381</v>
      </c>
      <c r="BG183" s="268">
        <f t="shared" si="61"/>
        <v>1.6073580392692466</v>
      </c>
      <c r="BH183" s="268">
        <f t="shared" si="61"/>
        <v>1.5060007559302386</v>
      </c>
      <c r="BI183" s="268">
        <f t="shared" si="61"/>
        <v>1.4481512523178697</v>
      </c>
      <c r="BJ183" s="268">
        <f t="shared" si="61"/>
        <v>1.3986743110248978</v>
      </c>
      <c r="BK183" s="268">
        <f t="shared" si="61"/>
        <v>0</v>
      </c>
    </row>
    <row r="184" spans="2:63" s="51" customFormat="1">
      <c r="C184" s="272" t="s">
        <v>565</v>
      </c>
      <c r="D184" s="104">
        <f t="shared" ref="D184:M184" si="62">SUM(D182:D183)</f>
        <v>50.2759901919081</v>
      </c>
      <c r="E184" s="104">
        <f t="shared" si="62"/>
        <v>56.459247006657165</v>
      </c>
      <c r="F184" s="104">
        <f t="shared" si="62"/>
        <v>60.646560073013546</v>
      </c>
      <c r="G184" s="104">
        <f t="shared" si="62"/>
        <v>65.844734892963857</v>
      </c>
      <c r="H184" s="104">
        <f t="shared" si="62"/>
        <v>74.714719063410115</v>
      </c>
      <c r="I184" s="104">
        <f t="shared" si="62"/>
        <v>81.635495530977067</v>
      </c>
      <c r="J184" s="104">
        <f t="shared" si="62"/>
        <v>88.129318213680165</v>
      </c>
      <c r="K184" s="104">
        <f t="shared" si="62"/>
        <v>93.167128469380344</v>
      </c>
      <c r="L184" s="104">
        <f t="shared" si="62"/>
        <v>97.937215333093974</v>
      </c>
      <c r="M184" s="104">
        <f t="shared" si="62"/>
        <v>101.27790202558305</v>
      </c>
      <c r="N184" s="104">
        <f>SUM(N182:N183)</f>
        <v>106.13807703468058</v>
      </c>
      <c r="O184" s="104">
        <f>SUM(O182:O183)</f>
        <v>112.78556313991389</v>
      </c>
      <c r="P184" s="104">
        <f t="shared" ref="P184:BK184" si="63">SUM(P182:P183)</f>
        <v>119.17427225644346</v>
      </c>
      <c r="Q184" s="104">
        <f t="shared" si="63"/>
        <v>125.27056541557216</v>
      </c>
      <c r="R184" s="104">
        <f t="shared" si="63"/>
        <v>122.90040451921212</v>
      </c>
      <c r="S184" s="104">
        <f t="shared" si="63"/>
        <v>123.76841851660842</v>
      </c>
      <c r="T184" s="104">
        <f t="shared" si="63"/>
        <v>129.6096757557012</v>
      </c>
      <c r="U184" s="104">
        <f t="shared" si="63"/>
        <v>131.88104296310138</v>
      </c>
      <c r="V184" s="104">
        <f t="shared" si="63"/>
        <v>137.46760263028375</v>
      </c>
      <c r="W184" s="104">
        <f t="shared" si="63"/>
        <v>136.75542253160606</v>
      </c>
      <c r="X184" s="104">
        <f t="shared" si="63"/>
        <v>145.51833109505742</v>
      </c>
      <c r="Y184" s="104">
        <f t="shared" si="63"/>
        <v>148.23318654839264</v>
      </c>
      <c r="Z184" s="104">
        <f t="shared" si="63"/>
        <v>152.65144224610606</v>
      </c>
      <c r="AA184" s="104">
        <f t="shared" si="63"/>
        <v>154.94516494892386</v>
      </c>
      <c r="AB184" s="104">
        <f t="shared" si="63"/>
        <v>163.2168770570604</v>
      </c>
      <c r="AC184" s="104">
        <f t="shared" si="63"/>
        <v>167.50076854710335</v>
      </c>
      <c r="AD184" s="104">
        <f t="shared" si="63"/>
        <v>176.20823944312497</v>
      </c>
      <c r="AE184" s="104">
        <f t="shared" si="63"/>
        <v>188.72763236382451</v>
      </c>
      <c r="AF184" s="104">
        <f t="shared" si="63"/>
        <v>201.71934126724483</v>
      </c>
      <c r="AG184" s="104">
        <f t="shared" si="63"/>
        <v>215.4267189875107</v>
      </c>
      <c r="AH184" s="104">
        <f t="shared" si="63"/>
        <v>212.9336822548614</v>
      </c>
      <c r="AI184" s="104">
        <f t="shared" si="63"/>
        <v>210.75552107429547</v>
      </c>
      <c r="AJ184" s="104">
        <f t="shared" si="63"/>
        <v>208.23704992100767</v>
      </c>
      <c r="AK184" s="104">
        <f t="shared" si="63"/>
        <v>203.51155130235423</v>
      </c>
      <c r="AL184" s="104">
        <f t="shared" si="63"/>
        <v>200.37864757513478</v>
      </c>
      <c r="AM184" s="104">
        <f t="shared" si="63"/>
        <v>198.06699175576435</v>
      </c>
      <c r="AN184" s="104">
        <f t="shared" si="63"/>
        <v>198.88182418520006</v>
      </c>
      <c r="AO184" s="104">
        <f t="shared" si="63"/>
        <v>198.55891821613517</v>
      </c>
      <c r="AP184" s="104">
        <f t="shared" si="63"/>
        <v>199.21235690796601</v>
      </c>
      <c r="AQ184" s="104">
        <f t="shared" si="63"/>
        <v>198.62670874423355</v>
      </c>
      <c r="AR184" s="104">
        <f t="shared" si="63"/>
        <v>195.10674810163181</v>
      </c>
      <c r="AS184" s="104">
        <f t="shared" si="63"/>
        <v>193.41119473716657</v>
      </c>
      <c r="AT184" s="104">
        <f t="shared" si="63"/>
        <v>192.54938834004307</v>
      </c>
      <c r="AU184" s="104">
        <f t="shared" si="63"/>
        <v>186.05249705888826</v>
      </c>
      <c r="AV184" s="104">
        <f t="shared" si="63"/>
        <v>182.42953232851502</v>
      </c>
      <c r="AW184" s="104">
        <f t="shared" si="63"/>
        <v>174.95544947834057</v>
      </c>
      <c r="AX184" s="104">
        <f t="shared" si="63"/>
        <v>170.02027908530556</v>
      </c>
      <c r="AY184" s="104">
        <f t="shared" si="63"/>
        <v>164.38659653587541</v>
      </c>
      <c r="AZ184" s="104">
        <f t="shared" si="63"/>
        <v>157.02613203172248</v>
      </c>
      <c r="BA184" s="104">
        <f t="shared" si="63"/>
        <v>151.87931839388114</v>
      </c>
      <c r="BB184" s="104">
        <f t="shared" si="63"/>
        <v>143.97791674315673</v>
      </c>
      <c r="BC184" s="104">
        <f t="shared" si="63"/>
        <v>139.08707017548204</v>
      </c>
      <c r="BD184" s="104">
        <f t="shared" si="63"/>
        <v>133.09080825989565</v>
      </c>
      <c r="BE184" s="104">
        <f t="shared" si="63"/>
        <v>128.68880120739641</v>
      </c>
      <c r="BF184" s="104">
        <f t="shared" si="63"/>
        <v>128.61502222226886</v>
      </c>
      <c r="BG184" s="104">
        <f t="shared" si="63"/>
        <v>126.78348157343217</v>
      </c>
      <c r="BH184" s="104">
        <f t="shared" si="63"/>
        <v>125.96224266900533</v>
      </c>
      <c r="BI184" s="104">
        <f t="shared" si="63"/>
        <v>126.5080956623044</v>
      </c>
      <c r="BJ184" s="104">
        <f t="shared" si="63"/>
        <v>127.94842590760339</v>
      </c>
      <c r="BK184" s="104">
        <f t="shared" si="63"/>
        <v>0</v>
      </c>
    </row>
    <row r="185" spans="2:63" s="51" customFormat="1">
      <c r="E185" s="269">
        <v>1</v>
      </c>
      <c r="F185" s="269" t="s">
        <v>566</v>
      </c>
      <c r="H185" s="270">
        <v>41888</v>
      </c>
      <c r="I185" s="271" t="s">
        <v>233</v>
      </c>
      <c r="J185" s="104"/>
      <c r="K185" s="275">
        <v>1</v>
      </c>
      <c r="L185" s="275" t="s">
        <v>85</v>
      </c>
      <c r="M185" s="104"/>
      <c r="N185" s="104"/>
      <c r="O185" s="104"/>
      <c r="P185" s="104"/>
      <c r="Q185" s="104"/>
      <c r="R185" s="104"/>
      <c r="S185" s="104"/>
      <c r="T185" s="104"/>
      <c r="U185" s="104"/>
      <c r="V185" s="104"/>
      <c r="W185" s="104"/>
      <c r="X185" s="104"/>
      <c r="Y185" s="104"/>
      <c r="Z185" s="104"/>
      <c r="AA185" s="104"/>
      <c r="AB185" s="104"/>
      <c r="AC185" s="104"/>
      <c r="AD185" s="104"/>
      <c r="AE185" s="104"/>
      <c r="AF185" s="104"/>
      <c r="AG185" s="104"/>
      <c r="AH185" s="104"/>
      <c r="AI185" s="104"/>
      <c r="AJ185" s="104"/>
      <c r="AK185" s="104"/>
      <c r="AL185" s="104"/>
      <c r="AM185" s="104"/>
      <c r="AN185" s="104"/>
      <c r="AO185" s="104"/>
      <c r="AP185" s="104"/>
      <c r="AQ185" s="104"/>
      <c r="AR185" s="104"/>
      <c r="AS185" s="104"/>
      <c r="AT185" s="104"/>
      <c r="AU185" s="104"/>
      <c r="AV185" s="104"/>
      <c r="AW185" s="104"/>
      <c r="AX185" s="104"/>
      <c r="AY185" s="104"/>
      <c r="AZ185" s="104"/>
      <c r="BA185" s="104"/>
      <c r="BB185" s="104"/>
      <c r="BC185" s="109"/>
      <c r="BK185" s="65"/>
    </row>
    <row r="186" spans="2:63" s="51" customFormat="1">
      <c r="E186" s="269">
        <v>158.23699999999999</v>
      </c>
      <c r="F186" s="269" t="s">
        <v>233</v>
      </c>
      <c r="H186" s="270">
        <v>1</v>
      </c>
      <c r="I186" s="270" t="s">
        <v>234</v>
      </c>
      <c r="J186" s="104"/>
      <c r="K186" s="275">
        <v>282.5</v>
      </c>
      <c r="L186" s="275" t="s">
        <v>86</v>
      </c>
      <c r="M186" s="104"/>
      <c r="N186" s="104"/>
      <c r="O186" s="104"/>
      <c r="P186" s="104"/>
      <c r="Q186" s="104"/>
      <c r="R186" s="104"/>
      <c r="S186" s="104"/>
      <c r="T186" s="104"/>
      <c r="U186" s="104"/>
      <c r="V186" s="104"/>
      <c r="W186" s="104"/>
      <c r="X186" s="104"/>
      <c r="Y186" s="104"/>
      <c r="Z186" s="104"/>
      <c r="AA186" s="104"/>
      <c r="AB186" s="104"/>
      <c r="AC186" s="104"/>
      <c r="AD186" s="104"/>
      <c r="AE186" s="104"/>
      <c r="AF186" s="104"/>
      <c r="AG186" s="104"/>
      <c r="AH186" s="104"/>
      <c r="AI186" s="104"/>
      <c r="AJ186" s="104"/>
      <c r="AK186" s="104"/>
      <c r="AL186" s="104"/>
      <c r="AM186" s="104"/>
      <c r="AN186" s="104"/>
      <c r="AO186" s="104"/>
      <c r="AP186" s="104"/>
      <c r="AQ186" s="104"/>
      <c r="AR186" s="104"/>
      <c r="AS186" s="104"/>
      <c r="AT186" s="104"/>
      <c r="AU186" s="104"/>
      <c r="AV186" s="104"/>
      <c r="AW186" s="104"/>
      <c r="AX186" s="104"/>
      <c r="AY186" s="104"/>
      <c r="AZ186" s="104"/>
      <c r="BA186" s="104"/>
      <c r="BB186" s="104"/>
      <c r="BC186" s="109"/>
      <c r="BK186" s="65"/>
    </row>
    <row r="187" spans="2:63" s="51" customFormat="1">
      <c r="H187" s="104"/>
      <c r="I187" s="104"/>
      <c r="K187" s="104"/>
      <c r="L187" s="104"/>
      <c r="M187" s="104"/>
      <c r="N187" s="104"/>
      <c r="O187" s="104"/>
      <c r="P187" s="104"/>
      <c r="Q187" s="104"/>
      <c r="R187" s="104"/>
      <c r="S187" s="104"/>
      <c r="T187" s="104"/>
      <c r="U187" s="104"/>
      <c r="V187" s="104"/>
      <c r="W187" s="104"/>
      <c r="X187" s="104"/>
      <c r="Y187" s="104"/>
      <c r="Z187" s="104"/>
      <c r="AA187" s="104"/>
      <c r="AB187" s="104"/>
      <c r="AC187" s="104"/>
      <c r="AD187" s="104"/>
      <c r="AE187" s="104"/>
      <c r="AF187" s="104"/>
      <c r="AG187" s="104"/>
      <c r="AH187" s="104"/>
      <c r="AI187" s="104"/>
      <c r="AJ187" s="104"/>
      <c r="AK187" s="104"/>
      <c r="AL187" s="104"/>
      <c r="AM187" s="104"/>
      <c r="AN187" s="104"/>
      <c r="AO187" s="104"/>
      <c r="AP187" s="104"/>
      <c r="AQ187" s="104"/>
      <c r="AR187" s="104"/>
      <c r="AS187" s="104"/>
      <c r="AT187" s="104"/>
      <c r="AU187" s="104"/>
      <c r="AV187" s="104"/>
      <c r="AW187" s="104"/>
      <c r="AX187" s="104"/>
      <c r="AY187" s="104"/>
      <c r="AZ187" s="104"/>
      <c r="BA187" s="104"/>
      <c r="BB187" s="104"/>
      <c r="BC187" s="109"/>
      <c r="BK187" s="65"/>
    </row>
    <row r="188" spans="2:63" s="51" customFormat="1">
      <c r="B188" s="51" t="s">
        <v>569</v>
      </c>
      <c r="G188" s="202" t="s">
        <v>244</v>
      </c>
      <c r="H188" s="104">
        <f>H185/E186</f>
        <v>264.71684877746674</v>
      </c>
      <c r="I188" s="104" t="s">
        <v>567</v>
      </c>
      <c r="K188" s="104"/>
      <c r="L188" s="104"/>
      <c r="M188" s="104"/>
      <c r="N188" s="104"/>
      <c r="O188" s="104"/>
      <c r="P188" s="104"/>
      <c r="Q188" s="104"/>
      <c r="R188" s="104"/>
      <c r="S188" s="104"/>
      <c r="T188" s="104"/>
      <c r="U188" s="104"/>
      <c r="V188" s="104"/>
      <c r="W188" s="104"/>
      <c r="X188" s="104"/>
      <c r="Y188" s="104"/>
      <c r="Z188" s="104"/>
      <c r="AA188" s="104"/>
      <c r="AB188" s="104"/>
      <c r="AC188" s="104"/>
      <c r="AD188" s="104"/>
      <c r="AE188" s="104"/>
      <c r="AF188" s="104"/>
      <c r="AG188" s="104"/>
      <c r="AH188" s="104"/>
      <c r="AI188" s="104"/>
      <c r="AJ188" s="104"/>
      <c r="AK188" s="104"/>
      <c r="AL188" s="104"/>
      <c r="AM188" s="104"/>
      <c r="AN188" s="104"/>
      <c r="AO188" s="104"/>
      <c r="AP188" s="104"/>
      <c r="AQ188" s="104"/>
      <c r="AR188" s="104"/>
      <c r="AS188" s="104"/>
      <c r="AT188" s="104"/>
      <c r="AU188" s="104"/>
      <c r="AV188" s="104"/>
      <c r="AW188" s="104"/>
      <c r="AX188" s="104"/>
      <c r="AY188" s="104"/>
      <c r="AZ188" s="104"/>
      <c r="BA188" s="104"/>
      <c r="BB188" s="104"/>
      <c r="BC188" s="109"/>
      <c r="BK188" s="65"/>
    </row>
    <row r="189" spans="2:63" s="51" customFormat="1">
      <c r="D189" s="51">
        <v>1960</v>
      </c>
      <c r="E189" s="51">
        <v>1961</v>
      </c>
      <c r="F189" s="51">
        <v>1962</v>
      </c>
      <c r="G189" s="51">
        <v>1963</v>
      </c>
      <c r="H189" s="51">
        <v>1964</v>
      </c>
      <c r="I189" s="51">
        <v>1965</v>
      </c>
      <c r="J189" s="51">
        <v>1966</v>
      </c>
      <c r="K189" s="51">
        <v>1967</v>
      </c>
      <c r="L189" s="51">
        <v>1968</v>
      </c>
      <c r="M189" s="51">
        <v>1969</v>
      </c>
      <c r="N189" s="51">
        <v>1970</v>
      </c>
      <c r="O189" s="51">
        <v>1971</v>
      </c>
      <c r="P189" s="51">
        <v>1972</v>
      </c>
      <c r="Q189" s="51">
        <v>1973</v>
      </c>
      <c r="R189" s="51">
        <v>1974</v>
      </c>
      <c r="S189" s="51">
        <v>1975</v>
      </c>
      <c r="T189" s="51">
        <v>1976</v>
      </c>
      <c r="U189" s="51">
        <v>1977</v>
      </c>
      <c r="V189" s="51">
        <v>1978</v>
      </c>
      <c r="W189" s="51">
        <v>1979</v>
      </c>
      <c r="X189" s="51">
        <v>1980</v>
      </c>
      <c r="Y189" s="51">
        <v>1981</v>
      </c>
      <c r="Z189" s="51">
        <v>1982</v>
      </c>
      <c r="AA189" s="51">
        <v>1983</v>
      </c>
      <c r="AB189" s="51">
        <v>1984</v>
      </c>
      <c r="AC189" s="51">
        <v>1985</v>
      </c>
      <c r="AD189" s="51">
        <v>1986</v>
      </c>
      <c r="AE189" s="51">
        <v>1987</v>
      </c>
      <c r="AF189" s="51">
        <v>1988</v>
      </c>
      <c r="AG189" s="51">
        <v>1989</v>
      </c>
      <c r="AH189" s="51">
        <v>1990</v>
      </c>
      <c r="AI189" s="51">
        <v>1991</v>
      </c>
      <c r="AJ189" s="51">
        <v>1992</v>
      </c>
      <c r="AK189" s="51">
        <v>1993</v>
      </c>
      <c r="AL189" s="51">
        <v>1994</v>
      </c>
      <c r="AM189" s="51">
        <v>1995</v>
      </c>
      <c r="AN189" s="51">
        <v>1996</v>
      </c>
      <c r="AO189" s="51">
        <v>1997</v>
      </c>
      <c r="AP189" s="51">
        <v>1998</v>
      </c>
      <c r="AQ189" s="51">
        <v>1999</v>
      </c>
      <c r="AR189" s="51">
        <v>2000</v>
      </c>
      <c r="AS189" s="51">
        <v>2001</v>
      </c>
      <c r="AT189" s="51">
        <v>2002</v>
      </c>
      <c r="AU189" s="51">
        <v>2003</v>
      </c>
      <c r="AV189" s="51">
        <v>2004</v>
      </c>
      <c r="AW189" s="51">
        <v>2005</v>
      </c>
      <c r="AX189" s="51">
        <v>2006</v>
      </c>
      <c r="AY189" s="51">
        <v>2007</v>
      </c>
      <c r="AZ189" s="51">
        <v>2008</v>
      </c>
      <c r="BA189" s="51">
        <v>2009</v>
      </c>
      <c r="BB189" s="51">
        <v>2010</v>
      </c>
      <c r="BC189" s="51">
        <v>2011</v>
      </c>
      <c r="BD189" s="51">
        <v>2012</v>
      </c>
      <c r="BE189" s="51">
        <v>2013</v>
      </c>
      <c r="BF189" s="51">
        <v>2014</v>
      </c>
      <c r="BG189" s="51">
        <v>2015</v>
      </c>
      <c r="BH189" s="51">
        <v>2016</v>
      </c>
      <c r="BI189" s="51">
        <v>2017</v>
      </c>
      <c r="BJ189" s="51">
        <v>2018</v>
      </c>
      <c r="BK189" s="51">
        <v>2019</v>
      </c>
    </row>
    <row r="190" spans="2:63" s="51" customFormat="1">
      <c r="C190" s="272" t="s">
        <v>564</v>
      </c>
      <c r="D190" s="268">
        <f>D226+D238</f>
        <v>7.6602394347586342</v>
      </c>
      <c r="E190" s="268">
        <f t="shared" ref="E190:M190" si="64">E226+E238</f>
        <v>8.2262802330875431</v>
      </c>
      <c r="F190" s="268">
        <f t="shared" si="64"/>
        <v>8.7229253351964822</v>
      </c>
      <c r="G190" s="268">
        <f t="shared" si="64"/>
        <v>9.2867445756488181</v>
      </c>
      <c r="H190" s="268">
        <f t="shared" si="64"/>
        <v>10.317997508599271</v>
      </c>
      <c r="I190" s="268">
        <f t="shared" si="64"/>
        <v>11.132581801782329</v>
      </c>
      <c r="J190" s="268">
        <f t="shared" si="64"/>
        <v>11.794110647360986</v>
      </c>
      <c r="K190" s="268">
        <f t="shared" si="64"/>
        <v>12.646237832618205</v>
      </c>
      <c r="L190" s="268">
        <f t="shared" si="64"/>
        <v>13.441622545453638</v>
      </c>
      <c r="M190" s="268">
        <f t="shared" si="64"/>
        <v>13.917758000863465</v>
      </c>
      <c r="N190" s="268">
        <f>N226+N238</f>
        <v>13.806491497457937</v>
      </c>
      <c r="O190" s="268">
        <f t="shared" ref="O190:BJ190" si="65">O226+O238</f>
        <v>14.541927566789116</v>
      </c>
      <c r="P190" s="268">
        <f t="shared" si="65"/>
        <v>15.486270740520634</v>
      </c>
      <c r="Q190" s="268">
        <f t="shared" si="65"/>
        <v>16.488976614979585</v>
      </c>
      <c r="R190" s="268">
        <f t="shared" si="65"/>
        <v>16.032070946710522</v>
      </c>
      <c r="S190" s="268">
        <f t="shared" si="65"/>
        <v>15.648511692282357</v>
      </c>
      <c r="T190" s="268">
        <f t="shared" si="65"/>
        <v>16.337810933445617</v>
      </c>
      <c r="U190" s="268">
        <f t="shared" si="65"/>
        <v>16.795217845928534</v>
      </c>
      <c r="V190" s="268">
        <f t="shared" si="65"/>
        <v>17.802743137601478</v>
      </c>
      <c r="W190" s="268">
        <f t="shared" si="65"/>
        <v>18.119378435358513</v>
      </c>
      <c r="X190" s="268">
        <f t="shared" si="65"/>
        <v>18.540455149982208</v>
      </c>
      <c r="Y190" s="268">
        <f t="shared" si="65"/>
        <v>18.079820936116423</v>
      </c>
      <c r="Z190" s="268">
        <f t="shared" si="65"/>
        <v>18.591328527834325</v>
      </c>
      <c r="AA190" s="268">
        <f t="shared" si="65"/>
        <v>18.946605922801126</v>
      </c>
      <c r="AB190" s="268">
        <f t="shared" si="65"/>
        <v>19.613498497689712</v>
      </c>
      <c r="AC190" s="268">
        <f t="shared" si="65"/>
        <v>19.824635165528672</v>
      </c>
      <c r="AD190" s="268">
        <f t="shared" si="65"/>
        <v>20.901633609872263</v>
      </c>
      <c r="AE190" s="268">
        <f t="shared" si="65"/>
        <v>21.633453124838031</v>
      </c>
      <c r="AF190" s="268">
        <f t="shared" si="65"/>
        <v>22.720527527394431</v>
      </c>
      <c r="AG190" s="268">
        <f t="shared" si="65"/>
        <v>23.406309735168055</v>
      </c>
      <c r="AH190" s="268">
        <f t="shared" si="65"/>
        <v>23.796807230976896</v>
      </c>
      <c r="AI190" s="268">
        <f t="shared" si="65"/>
        <v>23.51928416725956</v>
      </c>
      <c r="AJ190" s="268">
        <f t="shared" si="65"/>
        <v>23.572781510996919</v>
      </c>
      <c r="AK190" s="268">
        <f t="shared" si="65"/>
        <v>23.319102720129997</v>
      </c>
      <c r="AL190" s="268">
        <f t="shared" si="65"/>
        <v>22.389432076569584</v>
      </c>
      <c r="AM190" s="268">
        <f t="shared" si="65"/>
        <v>21.497052779492918</v>
      </c>
      <c r="AN190" s="268">
        <f t="shared" si="65"/>
        <v>21.94373865710584</v>
      </c>
      <c r="AO190" s="268">
        <f t="shared" si="65"/>
        <v>21.771055704390502</v>
      </c>
      <c r="AP190" s="268">
        <f t="shared" si="65"/>
        <v>21.360194579154093</v>
      </c>
      <c r="AQ190" s="268">
        <f t="shared" si="65"/>
        <v>21.27656003884303</v>
      </c>
      <c r="AR190" s="268">
        <f t="shared" si="65"/>
        <v>20.889582752823724</v>
      </c>
      <c r="AS190" s="268">
        <f t="shared" si="65"/>
        <v>20.418600941083987</v>
      </c>
      <c r="AT190" s="268">
        <f t="shared" si="65"/>
        <v>20.273271829878333</v>
      </c>
      <c r="AU190" s="268">
        <f t="shared" si="65"/>
        <v>19.359529981959785</v>
      </c>
      <c r="AV190" s="268">
        <f t="shared" si="65"/>
        <v>18.925073451222524</v>
      </c>
      <c r="AW190" s="268">
        <f t="shared" si="65"/>
        <v>18.282913386201653</v>
      </c>
      <c r="AX190" s="268">
        <f t="shared" si="65"/>
        <v>17.52787831990128</v>
      </c>
      <c r="AY190" s="268">
        <f t="shared" si="65"/>
        <v>17.026868373844181</v>
      </c>
      <c r="AZ190" s="268">
        <f t="shared" si="65"/>
        <v>15.977655456127069</v>
      </c>
      <c r="BA190" s="268">
        <f t="shared" si="65"/>
        <v>15.070296771576054</v>
      </c>
      <c r="BB190" s="268">
        <f t="shared" si="65"/>
        <v>14.062468115099026</v>
      </c>
      <c r="BC190" s="268">
        <f t="shared" si="65"/>
        <v>13.352714375561858</v>
      </c>
      <c r="BD190" s="268">
        <f t="shared" si="65"/>
        <v>12.708587275802495</v>
      </c>
      <c r="BE190" s="268">
        <f t="shared" si="65"/>
        <v>12.056640450704233</v>
      </c>
      <c r="BF190" s="268">
        <f t="shared" si="65"/>
        <v>11.783721878072544</v>
      </c>
      <c r="BG190" s="268">
        <f t="shared" si="65"/>
        <v>11.519625024160037</v>
      </c>
      <c r="BH190" s="268">
        <f t="shared" si="65"/>
        <v>11.367551192113094</v>
      </c>
      <c r="BI190" s="268">
        <f t="shared" si="65"/>
        <v>11.191660036294206</v>
      </c>
      <c r="BJ190" s="268">
        <f t="shared" si="65"/>
        <v>10.982986790800501</v>
      </c>
      <c r="BK190" s="268" t="e">
        <f>BK228+BK240</f>
        <v>#VALUE!</v>
      </c>
    </row>
    <row r="191" spans="2:63" s="51" customFormat="1">
      <c r="C191" s="202" t="s">
        <v>568</v>
      </c>
      <c r="D191" s="268">
        <f>D190*$H$188</f>
        <v>2027.7944440501888</v>
      </c>
      <c r="E191" s="268">
        <f t="shared" ref="E191:M191" si="66">E190*$H$188</f>
        <v>2177.6349804632991</v>
      </c>
      <c r="F191" s="268">
        <f t="shared" si="66"/>
        <v>2309.1053068543406</v>
      </c>
      <c r="G191" s="268">
        <f t="shared" si="66"/>
        <v>2458.3577594669878</v>
      </c>
      <c r="H191" s="268">
        <f t="shared" si="66"/>
        <v>2731.3477861701517</v>
      </c>
      <c r="I191" s="268">
        <f t="shared" si="66"/>
        <v>2946.9819733251911</v>
      </c>
      <c r="J191" s="268">
        <f t="shared" si="66"/>
        <v>3122.0998047021685</v>
      </c>
      <c r="K191" s="268">
        <f t="shared" si="66"/>
        <v>3347.6722279410719</v>
      </c>
      <c r="L191" s="268">
        <f t="shared" si="66"/>
        <v>3558.2239626886385</v>
      </c>
      <c r="M191" s="268">
        <f t="shared" si="66"/>
        <v>3684.2650400359516</v>
      </c>
      <c r="N191" s="268">
        <f>N190*$H$188</f>
        <v>3654.8109218799532</v>
      </c>
      <c r="O191" s="268">
        <f>O190*$H$188</f>
        <v>3849.4932406305893</v>
      </c>
      <c r="P191" s="268">
        <f t="shared" ref="P191:BK191" si="67">P190*$H$188</f>
        <v>4099.4767897453085</v>
      </c>
      <c r="Q191" s="268">
        <f t="shared" si="67"/>
        <v>4364.9099290827362</v>
      </c>
      <c r="R191" s="268">
        <f t="shared" si="67"/>
        <v>4243.9593003899872</v>
      </c>
      <c r="S191" s="268">
        <f t="shared" si="67"/>
        <v>4142.4247032383291</v>
      </c>
      <c r="T191" s="268">
        <f t="shared" si="67"/>
        <v>4324.8938262237662</v>
      </c>
      <c r="U191" s="268">
        <f t="shared" si="67"/>
        <v>4445.9771427052747</v>
      </c>
      <c r="V191" s="268">
        <f t="shared" si="67"/>
        <v>4712.6860629805342</v>
      </c>
      <c r="W191" s="268">
        <f t="shared" si="67"/>
        <v>4796.5047612144917</v>
      </c>
      <c r="X191" s="268">
        <f t="shared" si="67"/>
        <v>4907.970862203244</v>
      </c>
      <c r="Y191" s="268">
        <f t="shared" si="67"/>
        <v>4786.033224669608</v>
      </c>
      <c r="Z191" s="268">
        <f t="shared" si="67"/>
        <v>4921.4379024749223</v>
      </c>
      <c r="AA191" s="268">
        <f t="shared" si="67"/>
        <v>5015.4858149124011</v>
      </c>
      <c r="AB191" s="268">
        <f t="shared" si="67"/>
        <v>5192.0235158099986</v>
      </c>
      <c r="AC191" s="268">
        <f t="shared" si="67"/>
        <v>5247.9149491817025</v>
      </c>
      <c r="AD191" s="268">
        <f t="shared" si="67"/>
        <v>5533.0145835065723</v>
      </c>
      <c r="AE191" s="268">
        <f t="shared" si="67"/>
        <v>5726.7395393821644</v>
      </c>
      <c r="AF191" s="268">
        <f t="shared" si="67"/>
        <v>6014.5064496135419</v>
      </c>
      <c r="AG191" s="268">
        <f t="shared" si="67"/>
        <v>6196.0445546030296</v>
      </c>
      <c r="AH191" s="268">
        <f t="shared" si="67"/>
        <v>6299.4158211490376</v>
      </c>
      <c r="AI191" s="268">
        <f t="shared" si="67"/>
        <v>6225.9507902587166</v>
      </c>
      <c r="AJ191" s="268">
        <f t="shared" si="67"/>
        <v>6240.1124385108351</v>
      </c>
      <c r="AK191" s="268">
        <f t="shared" si="67"/>
        <v>6172.9593883908656</v>
      </c>
      <c r="AL191" s="268">
        <f t="shared" si="67"/>
        <v>5926.8599052266336</v>
      </c>
      <c r="AM191" s="268">
        <f t="shared" si="67"/>
        <v>5690.6320697902474</v>
      </c>
      <c r="AN191" s="268">
        <f t="shared" si="67"/>
        <v>5808.8773477053373</v>
      </c>
      <c r="AO191" s="268">
        <f t="shared" si="67"/>
        <v>5763.1652606249454</v>
      </c>
      <c r="AP191" s="268">
        <f t="shared" si="67"/>
        <v>5654.403398267199</v>
      </c>
      <c r="AQ191" s="268">
        <f t="shared" si="67"/>
        <v>5632.2639263071023</v>
      </c>
      <c r="AR191" s="268">
        <f t="shared" si="67"/>
        <v>5529.8245186036147</v>
      </c>
      <c r="AS191" s="268">
        <f t="shared" si="67"/>
        <v>5405.1476975683699</v>
      </c>
      <c r="AT191" s="268">
        <f t="shared" si="67"/>
        <v>5366.6766332143789</v>
      </c>
      <c r="AU191" s="268">
        <f t="shared" si="67"/>
        <v>5124.7937706372813</v>
      </c>
      <c r="AV191" s="268">
        <f t="shared" si="67"/>
        <v>5009.7858068897231</v>
      </c>
      <c r="AW191" s="268">
        <f t="shared" si="67"/>
        <v>4839.7952180666653</v>
      </c>
      <c r="AX191" s="268">
        <f t="shared" si="67"/>
        <v>4639.9247145991449</v>
      </c>
      <c r="AY191" s="268">
        <f t="shared" si="67"/>
        <v>4507.2989404727414</v>
      </c>
      <c r="AZ191" s="268">
        <f t="shared" si="67"/>
        <v>4229.5546031980557</v>
      </c>
      <c r="BA191" s="268">
        <f t="shared" si="67"/>
        <v>3989.3614715128433</v>
      </c>
      <c r="BB191" s="268">
        <f t="shared" si="67"/>
        <v>3722.5722454626166</v>
      </c>
      <c r="BC191" s="268">
        <f t="shared" si="67"/>
        <v>3534.6884721243146</v>
      </c>
      <c r="BD191" s="268">
        <f t="shared" si="67"/>
        <v>3364.1771760638471</v>
      </c>
      <c r="BE191" s="268">
        <f t="shared" si="67"/>
        <v>3191.5958669533607</v>
      </c>
      <c r="BF191" s="268">
        <f t="shared" si="67"/>
        <v>3119.349722433456</v>
      </c>
      <c r="BG191" s="268">
        <f t="shared" si="67"/>
        <v>3049.4388354936941</v>
      </c>
      <c r="BH191" s="268">
        <f t="shared" si="67"/>
        <v>3009.1823298927138</v>
      </c>
      <c r="BI191" s="268">
        <f t="shared" si="67"/>
        <v>2962.6209773965111</v>
      </c>
      <c r="BJ191" s="268">
        <f t="shared" si="67"/>
        <v>2907.381653425251</v>
      </c>
      <c r="BK191" s="268" t="e">
        <f t="shared" si="67"/>
        <v>#VALUE!</v>
      </c>
    </row>
    <row r="192" spans="2:63" s="203" customFormat="1">
      <c r="C192" s="273" t="s">
        <v>85</v>
      </c>
      <c r="D192" s="274">
        <f t="shared" ref="D192:M192" si="68">D184*1000/D191</f>
        <v>24.793435221910368</v>
      </c>
      <c r="E192" s="274">
        <f t="shared" si="68"/>
        <v>25.926864471402489</v>
      </c>
      <c r="F192" s="274">
        <f t="shared" si="68"/>
        <v>26.264094536091751</v>
      </c>
      <c r="G192" s="274">
        <f t="shared" si="68"/>
        <v>26.78403281190451</v>
      </c>
      <c r="H192" s="274">
        <f t="shared" si="68"/>
        <v>27.354524180962613</v>
      </c>
      <c r="I192" s="274">
        <f t="shared" si="68"/>
        <v>27.701389513036165</v>
      </c>
      <c r="J192" s="274">
        <f t="shared" si="68"/>
        <v>28.227578785581848</v>
      </c>
      <c r="K192" s="274">
        <f t="shared" si="68"/>
        <v>27.830421297452165</v>
      </c>
      <c r="L192" s="274">
        <f t="shared" si="68"/>
        <v>27.524185200273731</v>
      </c>
      <c r="M192" s="274">
        <f t="shared" si="68"/>
        <v>27.489309516286795</v>
      </c>
      <c r="N192" s="274">
        <f>N184*1000/N191</f>
        <v>29.040647875728006</v>
      </c>
      <c r="O192" s="274">
        <f>O184*1000/O191</f>
        <v>29.298807944247326</v>
      </c>
      <c r="P192" s="274">
        <f t="shared" ref="P192:BK192" si="69">P184*1000/P191</f>
        <v>29.070605437882595</v>
      </c>
      <c r="Q192" s="274">
        <f t="shared" si="69"/>
        <v>28.699461718766131</v>
      </c>
      <c r="R192" s="274">
        <f t="shared" si="69"/>
        <v>28.958902718015818</v>
      </c>
      <c r="S192" s="274">
        <f t="shared" si="69"/>
        <v>29.878254255256056</v>
      </c>
      <c r="T192" s="274">
        <f t="shared" si="69"/>
        <v>29.968290775098282</v>
      </c>
      <c r="U192" s="274">
        <f t="shared" si="69"/>
        <v>29.66300516850044</v>
      </c>
      <c r="V192" s="274">
        <f t="shared" si="69"/>
        <v>29.169692356579866</v>
      </c>
      <c r="W192" s="274">
        <f t="shared" si="69"/>
        <v>28.51147436304829</v>
      </c>
      <c r="X192" s="274">
        <f t="shared" si="69"/>
        <v>29.649387736937907</v>
      </c>
      <c r="Y192" s="274">
        <f t="shared" si="69"/>
        <v>30.97203458269464</v>
      </c>
      <c r="Z192" s="274">
        <f t="shared" si="69"/>
        <v>31.017650790501648</v>
      </c>
      <c r="AA192" s="274">
        <f t="shared" si="69"/>
        <v>30.893351245901208</v>
      </c>
      <c r="AB192" s="274">
        <f t="shared" si="69"/>
        <v>31.436082013121855</v>
      </c>
      <c r="AC192" s="274">
        <f t="shared" si="69"/>
        <v>31.917584444317537</v>
      </c>
      <c r="AD192" s="274">
        <f t="shared" si="69"/>
        <v>31.846697091380559</v>
      </c>
      <c r="AE192" s="274">
        <f t="shared" si="69"/>
        <v>32.955511782221826</v>
      </c>
      <c r="AF192" s="274">
        <f t="shared" si="69"/>
        <v>33.538802054191194</v>
      </c>
      <c r="AG192" s="274">
        <f t="shared" si="69"/>
        <v>34.768426387036001</v>
      </c>
      <c r="AH192" s="274">
        <f t="shared" si="69"/>
        <v>33.802131546861673</v>
      </c>
      <c r="AI192" s="274">
        <f t="shared" si="69"/>
        <v>33.851138271771923</v>
      </c>
      <c r="AJ192" s="274">
        <f t="shared" si="69"/>
        <v>33.370720795970492</v>
      </c>
      <c r="AK192" s="274">
        <f t="shared" si="69"/>
        <v>32.968231037626275</v>
      </c>
      <c r="AL192" s="274">
        <f t="shared" si="69"/>
        <v>33.808568243435246</v>
      </c>
      <c r="AM192" s="274">
        <f t="shared" si="69"/>
        <v>34.805798253455691</v>
      </c>
      <c r="AN192" s="274">
        <f t="shared" si="69"/>
        <v>34.237566448836063</v>
      </c>
      <c r="AO192" s="274">
        <f t="shared" si="69"/>
        <v>34.453101592058786</v>
      </c>
      <c r="AP192" s="274">
        <f t="shared" si="69"/>
        <v>35.231366224952218</v>
      </c>
      <c r="AQ192" s="274">
        <f t="shared" si="69"/>
        <v>35.265873784161748</v>
      </c>
      <c r="AR192" s="274">
        <f t="shared" si="69"/>
        <v>35.282629212780151</v>
      </c>
      <c r="AS192" s="274">
        <f t="shared" si="69"/>
        <v>35.782777004257824</v>
      </c>
      <c r="AT192" s="274">
        <f t="shared" si="69"/>
        <v>35.878701382593896</v>
      </c>
      <c r="AU192" s="274">
        <f t="shared" si="69"/>
        <v>36.30438713941696</v>
      </c>
      <c r="AV192" s="274">
        <f t="shared" si="69"/>
        <v>36.414637144292328</v>
      </c>
      <c r="AW192" s="274">
        <f t="shared" si="69"/>
        <v>36.149349630588162</v>
      </c>
      <c r="AX192" s="274">
        <f t="shared" si="69"/>
        <v>36.642896069057024</v>
      </c>
      <c r="AY192" s="274">
        <f t="shared" si="69"/>
        <v>36.471198983450158</v>
      </c>
      <c r="AZ192" s="274">
        <f t="shared" si="69"/>
        <v>37.125926193976007</v>
      </c>
      <c r="BA192" s="274">
        <f t="shared" si="69"/>
        <v>38.07108467819176</v>
      </c>
      <c r="BB192" s="274">
        <f t="shared" si="69"/>
        <v>38.676997315135814</v>
      </c>
      <c r="BC192" s="274">
        <f t="shared" si="69"/>
        <v>39.349173561508245</v>
      </c>
      <c r="BD192" s="274">
        <f t="shared" si="69"/>
        <v>39.561176862752063</v>
      </c>
      <c r="BE192" s="274">
        <f t="shared" si="69"/>
        <v>40.321145462016275</v>
      </c>
      <c r="BF192" s="274">
        <f t="shared" si="69"/>
        <v>41.231357066925526</v>
      </c>
      <c r="BG192" s="278">
        <f t="shared" si="69"/>
        <v>41.57600411516578</v>
      </c>
      <c r="BH192" s="278">
        <f t="shared" si="69"/>
        <v>41.859292279406766</v>
      </c>
      <c r="BI192" s="278">
        <f t="shared" si="69"/>
        <v>42.701410888367185</v>
      </c>
      <c r="BJ192" s="278">
        <f t="shared" si="69"/>
        <v>44.008128673737936</v>
      </c>
      <c r="BK192" s="274" t="e">
        <f t="shared" si="69"/>
        <v>#VALUE!</v>
      </c>
    </row>
    <row r="193" spans="2:64" s="203" customFormat="1">
      <c r="C193" s="273" t="s">
        <v>86</v>
      </c>
      <c r="D193" s="274">
        <f>$K$186/D192</f>
        <v>11.394145162682019</v>
      </c>
      <c r="E193" s="274">
        <f t="shared" ref="E193:BK193" si="70">$K$186/E192</f>
        <v>10.896034123663487</v>
      </c>
      <c r="F193" s="274">
        <f t="shared" si="70"/>
        <v>10.756129422691213</v>
      </c>
      <c r="G193" s="274">
        <f t="shared" si="70"/>
        <v>10.547328775465031</v>
      </c>
      <c r="H193" s="274">
        <f t="shared" si="70"/>
        <v>10.327359311064381</v>
      </c>
      <c r="I193" s="274">
        <f t="shared" si="70"/>
        <v>10.198044392937639</v>
      </c>
      <c r="J193" s="274">
        <f t="shared" si="70"/>
        <v>10.007943017213224</v>
      </c>
      <c r="K193" s="274">
        <f t="shared" si="70"/>
        <v>10.150762612632905</v>
      </c>
      <c r="L193" s="274">
        <f t="shared" si="70"/>
        <v>10.26370073971129</v>
      </c>
      <c r="M193" s="274">
        <f t="shared" si="70"/>
        <v>10.276722295721001</v>
      </c>
      <c r="N193" s="274">
        <f t="shared" si="70"/>
        <v>9.7277444087640959</v>
      </c>
      <c r="O193" s="274">
        <f t="shared" si="70"/>
        <v>9.6420305064140823</v>
      </c>
      <c r="P193" s="274">
        <f t="shared" si="70"/>
        <v>9.7177198666756208</v>
      </c>
      <c r="Q193" s="274">
        <f t="shared" si="70"/>
        <v>9.843390192063346</v>
      </c>
      <c r="R193" s="274">
        <f t="shared" si="70"/>
        <v>9.7552038746361767</v>
      </c>
      <c r="S193" s="274">
        <f t="shared" si="70"/>
        <v>9.4550370174423364</v>
      </c>
      <c r="T193" s="274">
        <f t="shared" si="70"/>
        <v>9.4266303714170885</v>
      </c>
      <c r="U193" s="274">
        <f t="shared" si="70"/>
        <v>9.5236473309181324</v>
      </c>
      <c r="V193" s="274">
        <f t="shared" si="70"/>
        <v>9.6847096138905933</v>
      </c>
      <c r="W193" s="274">
        <f t="shared" si="70"/>
        <v>9.9082915321323508</v>
      </c>
      <c r="X193" s="274">
        <f t="shared" si="70"/>
        <v>9.5280213711818007</v>
      </c>
      <c r="Y193" s="274">
        <f t="shared" si="70"/>
        <v>9.1211314918860538</v>
      </c>
      <c r="Z193" s="274">
        <f t="shared" si="70"/>
        <v>9.1077174705477155</v>
      </c>
      <c r="AA193" s="274">
        <f t="shared" si="70"/>
        <v>9.1443624147924343</v>
      </c>
      <c r="AB193" s="274">
        <f t="shared" si="70"/>
        <v>8.9864888341390827</v>
      </c>
      <c r="AC193" s="274">
        <f t="shared" si="70"/>
        <v>8.8509204226541964</v>
      </c>
      <c r="AD193" s="274">
        <f t="shared" si="70"/>
        <v>8.8706216280262176</v>
      </c>
      <c r="AE193" s="274">
        <f t="shared" si="70"/>
        <v>8.5721624311838909</v>
      </c>
      <c r="AF193" s="274">
        <f t="shared" si="70"/>
        <v>8.4230796181552119</v>
      </c>
      <c r="AG193" s="274">
        <f t="shared" si="70"/>
        <v>8.1251879752986156</v>
      </c>
      <c r="AH193" s="274">
        <f t="shared" si="70"/>
        <v>8.3574611147925797</v>
      </c>
      <c r="AI193" s="274">
        <f t="shared" si="70"/>
        <v>8.345361911672363</v>
      </c>
      <c r="AJ193" s="274">
        <f t="shared" si="70"/>
        <v>8.4655048875693399</v>
      </c>
      <c r="AK193" s="274">
        <f t="shared" si="70"/>
        <v>8.5688552618302722</v>
      </c>
      <c r="AL193" s="274">
        <f t="shared" si="70"/>
        <v>8.3558699666275942</v>
      </c>
      <c r="AM193" s="274">
        <f t="shared" si="70"/>
        <v>8.1164637553443271</v>
      </c>
      <c r="AN193" s="274">
        <f t="shared" si="70"/>
        <v>8.2511705504000226</v>
      </c>
      <c r="AO193" s="274">
        <f t="shared" si="70"/>
        <v>8.1995520561525996</v>
      </c>
      <c r="AP193" s="274">
        <f t="shared" si="70"/>
        <v>8.0184230777835275</v>
      </c>
      <c r="AQ193" s="274">
        <f t="shared" si="70"/>
        <v>8.010577073149781</v>
      </c>
      <c r="AR193" s="274">
        <f t="shared" si="70"/>
        <v>8.006772916392304</v>
      </c>
      <c r="AS193" s="274">
        <f t="shared" si="70"/>
        <v>7.8948595847210257</v>
      </c>
      <c r="AT193" s="274">
        <f t="shared" si="70"/>
        <v>7.873752090064535</v>
      </c>
      <c r="AU193" s="274">
        <f t="shared" si="70"/>
        <v>7.7814286993783108</v>
      </c>
      <c r="AV193" s="274">
        <f t="shared" si="70"/>
        <v>7.7578694215899766</v>
      </c>
      <c r="AW193" s="274">
        <f t="shared" si="70"/>
        <v>7.8148017291287468</v>
      </c>
      <c r="AX193" s="274">
        <f t="shared" si="70"/>
        <v>7.7095434669683822</v>
      </c>
      <c r="AY193" s="274">
        <f t="shared" si="70"/>
        <v>7.7458380276500476</v>
      </c>
      <c r="AZ193" s="274">
        <f t="shared" si="70"/>
        <v>7.6092377742710156</v>
      </c>
      <c r="BA193" s="274">
        <f t="shared" si="70"/>
        <v>7.420329690838158</v>
      </c>
      <c r="BB193" s="274">
        <f t="shared" si="70"/>
        <v>7.3040830367006482</v>
      </c>
      <c r="BC193" s="274">
        <f t="shared" si="70"/>
        <v>7.1793121540002129</v>
      </c>
      <c r="BD193" s="274">
        <f t="shared" si="70"/>
        <v>7.1408391358039083</v>
      </c>
      <c r="BE193" s="274">
        <f t="shared" si="70"/>
        <v>7.0062493702249471</v>
      </c>
      <c r="BF193" s="274">
        <f t="shared" si="70"/>
        <v>6.85158141997253</v>
      </c>
      <c r="BG193" s="274">
        <f t="shared" si="70"/>
        <v>6.7947847806026118</v>
      </c>
      <c r="BH193" s="274">
        <f t="shared" si="70"/>
        <v>6.7488001974409784</v>
      </c>
      <c r="BI193" s="274">
        <f t="shared" si="70"/>
        <v>6.6157064631548108</v>
      </c>
      <c r="BJ193" s="274">
        <f t="shared" si="70"/>
        <v>6.4192686331737443</v>
      </c>
      <c r="BK193" s="274" t="e">
        <f t="shared" si="70"/>
        <v>#VALUE!</v>
      </c>
    </row>
    <row r="194" spans="2:64" s="51" customFormat="1">
      <c r="H194" s="104"/>
      <c r="I194" s="104"/>
      <c r="J194" s="104"/>
      <c r="K194" s="104"/>
      <c r="L194" s="104"/>
      <c r="M194" s="104"/>
      <c r="O194" s="104"/>
      <c r="P194" s="104"/>
      <c r="Q194" s="104"/>
      <c r="R194" s="104"/>
      <c r="S194" s="104"/>
      <c r="T194" s="104"/>
      <c r="U194" s="104"/>
      <c r="V194" s="104"/>
      <c r="W194" s="104"/>
      <c r="X194" s="104"/>
      <c r="Y194" s="104"/>
      <c r="Z194" s="104"/>
      <c r="AA194" s="104"/>
      <c r="AB194" s="104"/>
      <c r="AC194" s="104"/>
      <c r="AD194" s="104"/>
      <c r="AE194" s="104"/>
      <c r="AF194" s="104"/>
      <c r="AG194" s="104"/>
      <c r="AH194" s="104"/>
      <c r="AI194" s="104"/>
      <c r="AJ194" s="104"/>
      <c r="AK194" s="104"/>
      <c r="AL194" s="104"/>
      <c r="AM194" s="104"/>
      <c r="AN194" s="104"/>
      <c r="AO194" s="104"/>
      <c r="AP194" s="104"/>
      <c r="AQ194" s="104"/>
      <c r="AR194" s="104"/>
      <c r="AS194" s="104"/>
      <c r="AT194" s="104"/>
      <c r="AU194" s="104"/>
      <c r="AV194" s="104"/>
      <c r="AW194" s="104"/>
      <c r="AX194" s="104"/>
      <c r="AY194" s="104"/>
      <c r="AZ194" s="104"/>
      <c r="BA194" s="104"/>
      <c r="BB194" s="104"/>
      <c r="BC194" s="109"/>
      <c r="BK194" s="65"/>
    </row>
    <row r="195" spans="2:64" s="51" customFormat="1">
      <c r="B195" s="51" t="s">
        <v>570</v>
      </c>
      <c r="D195" s="51">
        <v>1960</v>
      </c>
      <c r="E195" s="51">
        <v>1961</v>
      </c>
      <c r="F195" s="51">
        <v>1962</v>
      </c>
      <c r="G195" s="51">
        <v>1963</v>
      </c>
      <c r="H195" s="51">
        <v>1964</v>
      </c>
      <c r="I195" s="51">
        <v>1965</v>
      </c>
      <c r="J195" s="51">
        <v>1966</v>
      </c>
      <c r="K195" s="51">
        <v>1967</v>
      </c>
      <c r="L195" s="51">
        <v>1968</v>
      </c>
      <c r="M195" s="51">
        <v>1969</v>
      </c>
      <c r="N195" s="51">
        <v>1970</v>
      </c>
      <c r="O195" s="51">
        <v>1971</v>
      </c>
      <c r="P195" s="51">
        <v>1972</v>
      </c>
      <c r="Q195" s="51">
        <v>1973</v>
      </c>
      <c r="R195" s="51">
        <v>1974</v>
      </c>
      <c r="S195" s="51">
        <v>1975</v>
      </c>
      <c r="T195" s="51">
        <v>1976</v>
      </c>
      <c r="U195" s="51">
        <v>1977</v>
      </c>
      <c r="V195" s="51">
        <v>1978</v>
      </c>
      <c r="W195" s="51">
        <v>1979</v>
      </c>
      <c r="X195" s="51">
        <v>1980</v>
      </c>
      <c r="Y195" s="51">
        <v>1981</v>
      </c>
      <c r="Z195" s="51">
        <v>1982</v>
      </c>
      <c r="AA195" s="51">
        <v>1983</v>
      </c>
      <c r="AB195" s="51">
        <v>1984</v>
      </c>
      <c r="AC195" s="51">
        <v>1985</v>
      </c>
      <c r="AD195" s="51">
        <v>1986</v>
      </c>
      <c r="AE195" s="51">
        <v>1987</v>
      </c>
      <c r="AF195" s="51">
        <v>1988</v>
      </c>
      <c r="AG195" s="51">
        <v>1989</v>
      </c>
      <c r="AH195" s="51">
        <v>1990</v>
      </c>
      <c r="AI195" s="51">
        <v>1991</v>
      </c>
      <c r="AJ195" s="51">
        <v>1992</v>
      </c>
      <c r="AK195" s="51">
        <v>1993</v>
      </c>
      <c r="AL195" s="51">
        <v>1994</v>
      </c>
      <c r="AM195" s="51">
        <v>1995</v>
      </c>
      <c r="AN195" s="51">
        <v>1996</v>
      </c>
      <c r="AO195" s="51">
        <v>1997</v>
      </c>
      <c r="AP195" s="51">
        <v>1998</v>
      </c>
      <c r="AQ195" s="51">
        <v>1999</v>
      </c>
      <c r="AR195" s="51">
        <v>2000</v>
      </c>
      <c r="AS195" s="51">
        <v>2001</v>
      </c>
      <c r="AT195" s="51">
        <v>2002</v>
      </c>
      <c r="AU195" s="51">
        <v>2003</v>
      </c>
      <c r="AV195" s="51">
        <v>2004</v>
      </c>
      <c r="AW195" s="51">
        <v>2005</v>
      </c>
      <c r="AX195" s="51">
        <v>2006</v>
      </c>
      <c r="AY195" s="51">
        <v>2007</v>
      </c>
      <c r="AZ195" s="51">
        <v>2008</v>
      </c>
      <c r="BA195" s="51">
        <v>2009</v>
      </c>
      <c r="BB195" s="51">
        <v>2010</v>
      </c>
      <c r="BC195" s="51">
        <v>2011</v>
      </c>
      <c r="BD195" s="51">
        <v>2012</v>
      </c>
      <c r="BE195" s="51">
        <v>2013</v>
      </c>
      <c r="BF195" s="51">
        <v>2014</v>
      </c>
      <c r="BG195" s="51">
        <v>2015</v>
      </c>
      <c r="BH195" s="51">
        <v>2016</v>
      </c>
      <c r="BI195" s="51">
        <v>2017</v>
      </c>
      <c r="BJ195" s="51">
        <v>2018</v>
      </c>
      <c r="BK195" s="51">
        <v>2019</v>
      </c>
    </row>
    <row r="196" spans="2:64" s="51" customFormat="1">
      <c r="C196" s="272" t="s">
        <v>565</v>
      </c>
      <c r="D196" s="268">
        <f t="shared" ref="D196:AI196" si="71">D120*D226/(D226+D227*1.15)</f>
        <v>41.95710364543497</v>
      </c>
      <c r="E196" s="268">
        <f t="shared" si="71"/>
        <v>47.393243442216168</v>
      </c>
      <c r="F196" s="268">
        <f t="shared" si="71"/>
        <v>51.541714521901092</v>
      </c>
      <c r="G196" s="268">
        <f t="shared" si="71"/>
        <v>56.276541978082641</v>
      </c>
      <c r="H196" s="268">
        <f t="shared" si="71"/>
        <v>65.08585009101013</v>
      </c>
      <c r="I196" s="268">
        <f t="shared" si="71"/>
        <v>71.324879271142152</v>
      </c>
      <c r="J196" s="268">
        <f t="shared" si="71"/>
        <v>77.851912781417312</v>
      </c>
      <c r="K196" s="268">
        <f t="shared" si="71"/>
        <v>83.092392190084567</v>
      </c>
      <c r="L196" s="268">
        <f t="shared" si="71"/>
        <v>87.82324828745719</v>
      </c>
      <c r="M196" s="268">
        <f t="shared" si="71"/>
        <v>90.962043225140746</v>
      </c>
      <c r="N196" s="268">
        <f t="shared" si="71"/>
        <v>95.318044241813993</v>
      </c>
      <c r="O196" s="268">
        <f t="shared" si="71"/>
        <v>101.53703740105919</v>
      </c>
      <c r="P196" s="268">
        <f t="shared" si="71"/>
        <v>107.48672207387889</v>
      </c>
      <c r="Q196" s="268">
        <f t="shared" si="71"/>
        <v>113.09607118632955</v>
      </c>
      <c r="R196" s="268">
        <f t="shared" si="71"/>
        <v>110.62579981041938</v>
      </c>
      <c r="S196" s="268">
        <f t="shared" si="71"/>
        <v>111.5862206136092</v>
      </c>
      <c r="T196" s="268">
        <f t="shared" si="71"/>
        <v>117.04489369837331</v>
      </c>
      <c r="U196" s="268">
        <f t="shared" si="71"/>
        <v>119.28992247599435</v>
      </c>
      <c r="V196" s="268">
        <f t="shared" si="71"/>
        <v>124.47420176595784</v>
      </c>
      <c r="W196" s="268">
        <f t="shared" si="71"/>
        <v>123.89058866913743</v>
      </c>
      <c r="X196" s="268">
        <f t="shared" si="71"/>
        <v>132.19831625092854</v>
      </c>
      <c r="Y196" s="268">
        <f t="shared" si="71"/>
        <v>134.9447639937928</v>
      </c>
      <c r="Z196" s="268">
        <f t="shared" si="71"/>
        <v>139.61828206494877</v>
      </c>
      <c r="AA196" s="268">
        <f t="shared" si="71"/>
        <v>142.01825456750495</v>
      </c>
      <c r="AB196" s="268">
        <f t="shared" si="71"/>
        <v>149.71094887648076</v>
      </c>
      <c r="AC196" s="268">
        <f t="shared" si="71"/>
        <v>153.63402058910737</v>
      </c>
      <c r="AD196" s="268">
        <f t="shared" si="71"/>
        <v>161.93660796084222</v>
      </c>
      <c r="AE196" s="268">
        <f t="shared" si="71"/>
        <v>173.17175985359285</v>
      </c>
      <c r="AF196" s="268">
        <f t="shared" si="71"/>
        <v>185.37098389758572</v>
      </c>
      <c r="AG196" s="268">
        <f t="shared" si="71"/>
        <v>199.30462495605667</v>
      </c>
      <c r="AH196" s="268">
        <f t="shared" si="71"/>
        <v>198.2573448393666</v>
      </c>
      <c r="AI196" s="268">
        <f t="shared" si="71"/>
        <v>196.47565948276741</v>
      </c>
      <c r="AJ196" s="268">
        <f t="shared" ref="AJ196:BK196" si="72">AJ120*AJ226/(AJ226+AJ227*1.15)</f>
        <v>195.26106553044565</v>
      </c>
      <c r="AK196" s="268">
        <f t="shared" si="72"/>
        <v>191.48638327915828</v>
      </c>
      <c r="AL196" s="268">
        <f t="shared" si="72"/>
        <v>189.37088548672466</v>
      </c>
      <c r="AM196" s="268">
        <f t="shared" si="72"/>
        <v>188.09445977875723</v>
      </c>
      <c r="AN196" s="268">
        <f t="shared" si="72"/>
        <v>189.59846235183809</v>
      </c>
      <c r="AO196" s="268">
        <f t="shared" si="72"/>
        <v>189.89106618667711</v>
      </c>
      <c r="AP196" s="268">
        <f t="shared" si="72"/>
        <v>190.89056162874701</v>
      </c>
      <c r="AQ196" s="268">
        <f t="shared" si="72"/>
        <v>191.48129993146227</v>
      </c>
      <c r="AR196" s="268">
        <f t="shared" si="72"/>
        <v>188.87897615815999</v>
      </c>
      <c r="AS196" s="268">
        <f t="shared" si="72"/>
        <v>188.00006059542326</v>
      </c>
      <c r="AT196" s="268">
        <f t="shared" si="72"/>
        <v>187.87925544436499</v>
      </c>
      <c r="AU196" s="268">
        <f t="shared" si="72"/>
        <v>181.97304149450744</v>
      </c>
      <c r="AV196" s="268">
        <f t="shared" si="72"/>
        <v>178.75386951996512</v>
      </c>
      <c r="AW196" s="268">
        <f t="shared" si="72"/>
        <v>171.77715625808244</v>
      </c>
      <c r="AX196" s="268">
        <f t="shared" si="72"/>
        <v>166.819301841499</v>
      </c>
      <c r="AY196" s="268">
        <f t="shared" si="72"/>
        <v>161.3893438984347</v>
      </c>
      <c r="AZ196" s="268">
        <f t="shared" si="72"/>
        <v>154.20246036543912</v>
      </c>
      <c r="BA196" s="268">
        <f t="shared" si="72"/>
        <v>149.42576620903816</v>
      </c>
      <c r="BB196" s="268">
        <f t="shared" si="72"/>
        <v>141.77685192718732</v>
      </c>
      <c r="BC196" s="268">
        <f t="shared" si="72"/>
        <v>137.04719770497417</v>
      </c>
      <c r="BD196" s="268">
        <f t="shared" si="72"/>
        <v>131.23862276480676</v>
      </c>
      <c r="BE196" s="268">
        <f t="shared" si="72"/>
        <v>126.91846393420613</v>
      </c>
      <c r="BF196" s="268">
        <f t="shared" si="72"/>
        <v>126.90519755981403</v>
      </c>
      <c r="BG196" s="268">
        <f t="shared" si="72"/>
        <v>125.17612353416293</v>
      </c>
      <c r="BH196" s="268">
        <f t="shared" si="72"/>
        <v>124.45624191307509</v>
      </c>
      <c r="BI196" s="268">
        <f t="shared" si="72"/>
        <v>125.05994440998653</v>
      </c>
      <c r="BJ196" s="268">
        <f t="shared" si="72"/>
        <v>126.5497515965785</v>
      </c>
      <c r="BK196" s="268">
        <f t="shared" si="72"/>
        <v>0</v>
      </c>
    </row>
    <row r="197" spans="2:64" s="51" customFormat="1">
      <c r="C197" s="272" t="s">
        <v>565</v>
      </c>
      <c r="D197" s="268"/>
      <c r="E197" s="268"/>
      <c r="F197" s="268"/>
      <c r="G197" s="268"/>
      <c r="H197" s="268"/>
      <c r="I197" s="268"/>
      <c r="J197" s="268"/>
      <c r="K197" s="268"/>
      <c r="L197" s="268"/>
      <c r="M197" s="268"/>
      <c r="N197" s="268"/>
      <c r="O197" s="268"/>
      <c r="P197" s="268"/>
      <c r="Q197" s="268"/>
      <c r="R197" s="268"/>
      <c r="S197" s="268"/>
      <c r="T197" s="268"/>
      <c r="U197" s="268"/>
      <c r="V197" s="268"/>
      <c r="W197" s="268"/>
      <c r="X197" s="268"/>
      <c r="Y197" s="268"/>
      <c r="Z197" s="268"/>
      <c r="AA197" s="268"/>
      <c r="AB197" s="268"/>
      <c r="AC197" s="268"/>
      <c r="AD197" s="268"/>
      <c r="AE197" s="268"/>
      <c r="AF197" s="268"/>
      <c r="AG197" s="268"/>
      <c r="AH197" s="268"/>
      <c r="AI197" s="268"/>
      <c r="AJ197" s="268"/>
      <c r="AK197" s="268"/>
      <c r="AL197" s="268"/>
      <c r="AM197" s="268"/>
      <c r="AN197" s="268"/>
      <c r="AO197" s="268"/>
      <c r="AP197" s="268"/>
      <c r="AQ197" s="268"/>
      <c r="AR197" s="268"/>
      <c r="AS197" s="268"/>
      <c r="AT197" s="268"/>
      <c r="AU197" s="268"/>
      <c r="AV197" s="268"/>
      <c r="AW197" s="268"/>
      <c r="AX197" s="268"/>
      <c r="AY197" s="268"/>
      <c r="AZ197" s="268"/>
      <c r="BA197" s="268"/>
      <c r="BB197" s="268"/>
      <c r="BC197" s="268"/>
      <c r="BD197" s="268"/>
      <c r="BE197" s="268"/>
      <c r="BF197" s="268"/>
      <c r="BG197" s="268"/>
      <c r="BH197" s="268"/>
      <c r="BI197" s="268"/>
      <c r="BJ197" s="268"/>
      <c r="BK197" s="268"/>
    </row>
    <row r="198" spans="2:64" s="51" customFormat="1">
      <c r="C198" s="272" t="s">
        <v>565</v>
      </c>
      <c r="D198" s="104">
        <f t="shared" ref="D198" si="73">SUM(D196:D197)</f>
        <v>41.95710364543497</v>
      </c>
      <c r="E198" s="104">
        <f t="shared" ref="E198" si="74">SUM(E196:E197)</f>
        <v>47.393243442216168</v>
      </c>
      <c r="F198" s="104">
        <f t="shared" ref="F198" si="75">SUM(F196:F197)</f>
        <v>51.541714521901092</v>
      </c>
      <c r="G198" s="104">
        <f t="shared" ref="G198" si="76">SUM(G196:G197)</f>
        <v>56.276541978082641</v>
      </c>
      <c r="H198" s="104">
        <f t="shared" ref="H198" si="77">SUM(H196:H197)</f>
        <v>65.08585009101013</v>
      </c>
      <c r="I198" s="104">
        <f t="shared" ref="I198" si="78">SUM(I196:I197)</f>
        <v>71.324879271142152</v>
      </c>
      <c r="J198" s="104">
        <f t="shared" ref="J198" si="79">SUM(J196:J197)</f>
        <v>77.851912781417312</v>
      </c>
      <c r="K198" s="104">
        <f t="shared" ref="K198" si="80">SUM(K196:K197)</f>
        <v>83.092392190084567</v>
      </c>
      <c r="L198" s="104">
        <f t="shared" ref="L198" si="81">SUM(L196:L197)</f>
        <v>87.82324828745719</v>
      </c>
      <c r="M198" s="104">
        <f t="shared" ref="M198" si="82">SUM(M196:M197)</f>
        <v>90.962043225140746</v>
      </c>
      <c r="N198" s="104">
        <f>SUM(N196:N197)</f>
        <v>95.318044241813993</v>
      </c>
      <c r="O198" s="104">
        <f>SUM(O196:O197)</f>
        <v>101.53703740105919</v>
      </c>
      <c r="P198" s="104">
        <f t="shared" ref="P198" si="83">SUM(P196:P197)</f>
        <v>107.48672207387889</v>
      </c>
      <c r="Q198" s="104">
        <f t="shared" ref="Q198" si="84">SUM(Q196:Q197)</f>
        <v>113.09607118632955</v>
      </c>
      <c r="R198" s="104">
        <f t="shared" ref="R198" si="85">SUM(R196:R197)</f>
        <v>110.62579981041938</v>
      </c>
      <c r="S198" s="104">
        <f t="shared" ref="S198" si="86">SUM(S196:S197)</f>
        <v>111.5862206136092</v>
      </c>
      <c r="T198" s="104">
        <f t="shared" ref="T198" si="87">SUM(T196:T197)</f>
        <v>117.04489369837331</v>
      </c>
      <c r="U198" s="104">
        <f t="shared" ref="U198" si="88">SUM(U196:U197)</f>
        <v>119.28992247599435</v>
      </c>
      <c r="V198" s="104">
        <f t="shared" ref="V198" si="89">SUM(V196:V197)</f>
        <v>124.47420176595784</v>
      </c>
      <c r="W198" s="104">
        <f t="shared" ref="W198" si="90">SUM(W196:W197)</f>
        <v>123.89058866913743</v>
      </c>
      <c r="X198" s="104">
        <f t="shared" ref="X198" si="91">SUM(X196:X197)</f>
        <v>132.19831625092854</v>
      </c>
      <c r="Y198" s="104">
        <f t="shared" ref="Y198" si="92">SUM(Y196:Y197)</f>
        <v>134.9447639937928</v>
      </c>
      <c r="Z198" s="104">
        <f t="shared" ref="Z198" si="93">SUM(Z196:Z197)</f>
        <v>139.61828206494877</v>
      </c>
      <c r="AA198" s="104">
        <f t="shared" ref="AA198" si="94">SUM(AA196:AA197)</f>
        <v>142.01825456750495</v>
      </c>
      <c r="AB198" s="104">
        <f t="shared" ref="AB198" si="95">SUM(AB196:AB197)</f>
        <v>149.71094887648076</v>
      </c>
      <c r="AC198" s="104">
        <f t="shared" ref="AC198" si="96">SUM(AC196:AC197)</f>
        <v>153.63402058910737</v>
      </c>
      <c r="AD198" s="104">
        <f t="shared" ref="AD198" si="97">SUM(AD196:AD197)</f>
        <v>161.93660796084222</v>
      </c>
      <c r="AE198" s="104">
        <f t="shared" ref="AE198" si="98">SUM(AE196:AE197)</f>
        <v>173.17175985359285</v>
      </c>
      <c r="AF198" s="104">
        <f t="shared" ref="AF198" si="99">SUM(AF196:AF197)</f>
        <v>185.37098389758572</v>
      </c>
      <c r="AG198" s="104">
        <f t="shared" ref="AG198" si="100">SUM(AG196:AG197)</f>
        <v>199.30462495605667</v>
      </c>
      <c r="AH198" s="104">
        <f t="shared" ref="AH198" si="101">SUM(AH196:AH197)</f>
        <v>198.2573448393666</v>
      </c>
      <c r="AI198" s="104">
        <f t="shared" ref="AI198" si="102">SUM(AI196:AI197)</f>
        <v>196.47565948276741</v>
      </c>
      <c r="AJ198" s="104">
        <f t="shared" ref="AJ198" si="103">SUM(AJ196:AJ197)</f>
        <v>195.26106553044565</v>
      </c>
      <c r="AK198" s="104">
        <f t="shared" ref="AK198" si="104">SUM(AK196:AK197)</f>
        <v>191.48638327915828</v>
      </c>
      <c r="AL198" s="104">
        <f t="shared" ref="AL198" si="105">SUM(AL196:AL197)</f>
        <v>189.37088548672466</v>
      </c>
      <c r="AM198" s="104">
        <f t="shared" ref="AM198" si="106">SUM(AM196:AM197)</f>
        <v>188.09445977875723</v>
      </c>
      <c r="AN198" s="104">
        <f t="shared" ref="AN198" si="107">SUM(AN196:AN197)</f>
        <v>189.59846235183809</v>
      </c>
      <c r="AO198" s="104">
        <f t="shared" ref="AO198" si="108">SUM(AO196:AO197)</f>
        <v>189.89106618667711</v>
      </c>
      <c r="AP198" s="104">
        <f t="shared" ref="AP198" si="109">SUM(AP196:AP197)</f>
        <v>190.89056162874701</v>
      </c>
      <c r="AQ198" s="104">
        <f t="shared" ref="AQ198" si="110">SUM(AQ196:AQ197)</f>
        <v>191.48129993146227</v>
      </c>
      <c r="AR198" s="104">
        <f t="shared" ref="AR198" si="111">SUM(AR196:AR197)</f>
        <v>188.87897615815999</v>
      </c>
      <c r="AS198" s="104">
        <f t="shared" ref="AS198" si="112">SUM(AS196:AS197)</f>
        <v>188.00006059542326</v>
      </c>
      <c r="AT198" s="104">
        <f t="shared" ref="AT198" si="113">SUM(AT196:AT197)</f>
        <v>187.87925544436499</v>
      </c>
      <c r="AU198" s="104">
        <f t="shared" ref="AU198" si="114">SUM(AU196:AU197)</f>
        <v>181.97304149450744</v>
      </c>
      <c r="AV198" s="104">
        <f t="shared" ref="AV198" si="115">SUM(AV196:AV197)</f>
        <v>178.75386951996512</v>
      </c>
      <c r="AW198" s="104">
        <f t="shared" ref="AW198" si="116">SUM(AW196:AW197)</f>
        <v>171.77715625808244</v>
      </c>
      <c r="AX198" s="104">
        <f t="shared" ref="AX198" si="117">SUM(AX196:AX197)</f>
        <v>166.819301841499</v>
      </c>
      <c r="AY198" s="104">
        <f t="shared" ref="AY198" si="118">SUM(AY196:AY197)</f>
        <v>161.3893438984347</v>
      </c>
      <c r="AZ198" s="104">
        <f t="shared" ref="AZ198" si="119">SUM(AZ196:AZ197)</f>
        <v>154.20246036543912</v>
      </c>
      <c r="BA198" s="104">
        <f t="shared" ref="BA198" si="120">SUM(BA196:BA197)</f>
        <v>149.42576620903816</v>
      </c>
      <c r="BB198" s="104">
        <f t="shared" ref="BB198" si="121">SUM(BB196:BB197)</f>
        <v>141.77685192718732</v>
      </c>
      <c r="BC198" s="104">
        <f t="shared" ref="BC198" si="122">SUM(BC196:BC197)</f>
        <v>137.04719770497417</v>
      </c>
      <c r="BD198" s="104">
        <f t="shared" ref="BD198" si="123">SUM(BD196:BD197)</f>
        <v>131.23862276480676</v>
      </c>
      <c r="BE198" s="104">
        <f t="shared" ref="BE198" si="124">SUM(BE196:BE197)</f>
        <v>126.91846393420613</v>
      </c>
      <c r="BF198" s="104">
        <f t="shared" ref="BF198" si="125">SUM(BF196:BF197)</f>
        <v>126.90519755981403</v>
      </c>
      <c r="BG198" s="104">
        <f t="shared" ref="BG198" si="126">SUM(BG196:BG197)</f>
        <v>125.17612353416293</v>
      </c>
      <c r="BH198" s="104">
        <f t="shared" ref="BH198" si="127">SUM(BH196:BH197)</f>
        <v>124.45624191307509</v>
      </c>
      <c r="BI198" s="104">
        <f t="shared" ref="BI198" si="128">SUM(BI196:BI197)</f>
        <v>125.05994440998653</v>
      </c>
      <c r="BJ198" s="104">
        <f t="shared" ref="BJ198" si="129">SUM(BJ196:BJ197)</f>
        <v>126.5497515965785</v>
      </c>
      <c r="BK198" s="104">
        <f t="shared" ref="BK198" si="130">SUM(BK196:BK197)</f>
        <v>0</v>
      </c>
    </row>
    <row r="199" spans="2:64" s="51" customFormat="1">
      <c r="E199" s="269">
        <v>1</v>
      </c>
      <c r="F199" s="269" t="s">
        <v>566</v>
      </c>
      <c r="H199" s="270">
        <v>41888</v>
      </c>
      <c r="I199" s="271" t="s">
        <v>233</v>
      </c>
      <c r="J199" s="104"/>
      <c r="K199" s="275">
        <v>1</v>
      </c>
      <c r="L199" s="275" t="s">
        <v>85</v>
      </c>
      <c r="M199" s="104"/>
      <c r="N199" s="104"/>
      <c r="O199" s="104"/>
      <c r="P199" s="104"/>
      <c r="Q199" s="104"/>
      <c r="R199" s="104"/>
      <c r="S199" s="104"/>
      <c r="T199" s="104"/>
      <c r="U199" s="104"/>
      <c r="V199" s="104"/>
      <c r="W199" s="104"/>
      <c r="X199" s="104"/>
      <c r="Y199" s="104"/>
      <c r="Z199" s="104"/>
      <c r="AA199" s="104"/>
      <c r="AB199" s="104"/>
      <c r="AC199" s="104"/>
      <c r="AD199" s="104"/>
      <c r="AE199" s="104"/>
      <c r="AF199" s="104"/>
      <c r="AG199" s="104"/>
      <c r="AH199" s="104"/>
      <c r="AI199" s="104"/>
      <c r="AJ199" s="104"/>
      <c r="AK199" s="104"/>
      <c r="AL199" s="104"/>
      <c r="AM199" s="104"/>
      <c r="AN199" s="104"/>
      <c r="AO199" s="104"/>
      <c r="AP199" s="104"/>
      <c r="AQ199" s="104"/>
      <c r="AR199" s="104"/>
      <c r="AS199" s="104"/>
      <c r="AT199" s="104"/>
      <c r="AU199" s="104"/>
      <c r="AV199" s="104"/>
      <c r="AW199" s="104"/>
      <c r="AX199" s="104"/>
      <c r="AY199" s="104"/>
      <c r="AZ199" s="104"/>
      <c r="BA199" s="104"/>
      <c r="BB199" s="104"/>
      <c r="BC199" s="109"/>
      <c r="BK199" s="65"/>
    </row>
    <row r="200" spans="2:64" s="51" customFormat="1">
      <c r="E200" s="269">
        <v>158.23699999999999</v>
      </c>
      <c r="F200" s="269" t="s">
        <v>233</v>
      </c>
      <c r="H200" s="270">
        <v>1</v>
      </c>
      <c r="I200" s="270" t="s">
        <v>234</v>
      </c>
      <c r="J200" s="104"/>
      <c r="K200" s="275">
        <v>282.5</v>
      </c>
      <c r="L200" s="275" t="s">
        <v>86</v>
      </c>
      <c r="M200" s="104"/>
      <c r="N200" s="104"/>
      <c r="O200" s="104"/>
      <c r="P200" s="104"/>
      <c r="Q200" s="104"/>
      <c r="R200" s="104"/>
      <c r="S200" s="104"/>
      <c r="T200" s="104"/>
      <c r="U200" s="104"/>
      <c r="V200" s="104"/>
      <c r="W200" s="104"/>
      <c r="X200" s="104"/>
      <c r="Y200" s="104"/>
      <c r="Z200" s="104"/>
      <c r="AA200" s="104"/>
      <c r="AB200" s="104"/>
      <c r="AC200" s="104"/>
      <c r="AD200" s="104"/>
      <c r="AE200" s="104"/>
      <c r="AF200" s="104"/>
      <c r="AG200" s="104"/>
      <c r="AH200" s="104"/>
      <c r="AI200" s="104"/>
      <c r="AJ200" s="104"/>
      <c r="AK200" s="104"/>
      <c r="AL200" s="104"/>
      <c r="AM200" s="104"/>
      <c r="AN200" s="104"/>
      <c r="AO200" s="104"/>
      <c r="AP200" s="104"/>
      <c r="AQ200" s="104"/>
      <c r="AR200" s="104"/>
      <c r="AS200" s="104"/>
      <c r="AT200" s="104"/>
      <c r="AU200" s="104"/>
      <c r="AV200" s="104"/>
      <c r="AW200" s="104"/>
      <c r="AX200" s="104"/>
      <c r="AY200" s="104"/>
      <c r="AZ200" s="104"/>
      <c r="BA200" s="104"/>
      <c r="BB200" s="104"/>
      <c r="BC200" s="109"/>
      <c r="BK200" s="65"/>
    </row>
    <row r="201" spans="2:64" s="51" customFormat="1">
      <c r="B201" s="51" t="s">
        <v>570</v>
      </c>
      <c r="H201" s="104"/>
      <c r="I201" s="104"/>
      <c r="K201" s="104"/>
      <c r="L201" s="104"/>
      <c r="M201" s="104"/>
      <c r="N201" s="104"/>
      <c r="O201" s="104"/>
      <c r="P201" s="104"/>
      <c r="Q201" s="104"/>
      <c r="R201" s="104"/>
      <c r="S201" s="104"/>
      <c r="T201" s="104"/>
      <c r="U201" s="104"/>
      <c r="V201" s="104"/>
      <c r="W201" s="104"/>
      <c r="X201" s="104"/>
      <c r="Y201" s="104"/>
      <c r="Z201" s="104"/>
      <c r="AA201" s="104"/>
      <c r="AB201" s="104"/>
      <c r="AC201" s="104"/>
      <c r="AD201" s="104"/>
      <c r="AE201" s="104"/>
      <c r="AF201" s="104"/>
      <c r="AG201" s="104"/>
      <c r="AH201" s="104"/>
      <c r="AI201" s="104"/>
      <c r="AJ201" s="104"/>
      <c r="AK201" s="104"/>
      <c r="AL201" s="104"/>
      <c r="AM201" s="104"/>
      <c r="AN201" s="104"/>
      <c r="AO201" s="104"/>
      <c r="AP201" s="104"/>
      <c r="AQ201" s="104"/>
      <c r="AR201" s="104"/>
      <c r="AS201" s="104"/>
      <c r="AT201" s="104"/>
      <c r="AU201" s="104"/>
      <c r="AV201" s="104"/>
      <c r="AW201" s="104"/>
      <c r="AX201" s="104"/>
      <c r="AY201" s="104"/>
      <c r="AZ201" s="104"/>
      <c r="BA201" s="104"/>
      <c r="BB201" s="104"/>
      <c r="BC201" s="109"/>
      <c r="BK201" s="65"/>
    </row>
    <row r="202" spans="2:64" s="51" customFormat="1">
      <c r="G202" s="202" t="s">
        <v>244</v>
      </c>
      <c r="H202" s="104">
        <f>H199/E200</f>
        <v>264.71684877746674</v>
      </c>
      <c r="I202" s="104" t="s">
        <v>567</v>
      </c>
      <c r="K202" s="104"/>
      <c r="L202" s="104"/>
      <c r="M202" s="104"/>
      <c r="N202" s="104"/>
      <c r="O202" s="104"/>
      <c r="P202" s="104"/>
      <c r="Q202" s="104"/>
      <c r="R202" s="104"/>
      <c r="S202" s="104"/>
      <c r="T202" s="104"/>
      <c r="U202" s="104"/>
      <c r="V202" s="104"/>
      <c r="W202" s="104"/>
      <c r="X202" s="104"/>
      <c r="Y202" s="104"/>
      <c r="Z202" s="104"/>
      <c r="AA202" s="104"/>
      <c r="AB202" s="104"/>
      <c r="AC202" s="104"/>
      <c r="AD202" s="104"/>
      <c r="AE202" s="104"/>
      <c r="AF202" s="104"/>
      <c r="AG202" s="104"/>
      <c r="AH202" s="104"/>
      <c r="AI202" s="104"/>
      <c r="AJ202" s="104"/>
      <c r="AK202" s="104"/>
      <c r="AL202" s="104"/>
      <c r="AM202" s="104"/>
      <c r="AN202" s="104"/>
      <c r="AO202" s="104"/>
      <c r="AP202" s="104"/>
      <c r="AQ202" s="104"/>
      <c r="AR202" s="104"/>
      <c r="AS202" s="104"/>
      <c r="AT202" s="104"/>
      <c r="AU202" s="104"/>
      <c r="AV202" s="104"/>
      <c r="AW202" s="104"/>
      <c r="AX202" s="104"/>
      <c r="AY202" s="104"/>
      <c r="AZ202" s="104"/>
      <c r="BA202" s="104"/>
      <c r="BB202" s="104"/>
      <c r="BC202" s="109"/>
      <c r="BK202" s="65"/>
    </row>
    <row r="203" spans="2:64" s="51" customFormat="1">
      <c r="D203" s="51">
        <v>1960</v>
      </c>
      <c r="E203" s="51">
        <v>1961</v>
      </c>
      <c r="F203" s="51">
        <v>1962</v>
      </c>
      <c r="G203" s="51">
        <v>1963</v>
      </c>
      <c r="H203" s="51">
        <v>1964</v>
      </c>
      <c r="I203" s="51">
        <v>1965</v>
      </c>
      <c r="J203" s="51">
        <v>1966</v>
      </c>
      <c r="K203" s="51">
        <v>1967</v>
      </c>
      <c r="L203" s="51">
        <v>1968</v>
      </c>
      <c r="M203" s="51">
        <v>1969</v>
      </c>
      <c r="N203" s="51">
        <v>1970</v>
      </c>
      <c r="O203" s="51">
        <v>1971</v>
      </c>
      <c r="P203" s="51">
        <v>1972</v>
      </c>
      <c r="Q203" s="51">
        <v>1973</v>
      </c>
      <c r="R203" s="51">
        <v>1974</v>
      </c>
      <c r="S203" s="51">
        <v>1975</v>
      </c>
      <c r="T203" s="51">
        <v>1976</v>
      </c>
      <c r="U203" s="51">
        <v>1977</v>
      </c>
      <c r="V203" s="51">
        <v>1978</v>
      </c>
      <c r="W203" s="51">
        <v>1979</v>
      </c>
      <c r="X203" s="51">
        <v>1980</v>
      </c>
      <c r="Y203" s="51">
        <v>1981</v>
      </c>
      <c r="Z203" s="51">
        <v>1982</v>
      </c>
      <c r="AA203" s="51">
        <v>1983</v>
      </c>
      <c r="AB203" s="51">
        <v>1984</v>
      </c>
      <c r="AC203" s="51">
        <v>1985</v>
      </c>
      <c r="AD203" s="51">
        <v>1986</v>
      </c>
      <c r="AE203" s="51">
        <v>1987</v>
      </c>
      <c r="AF203" s="51">
        <v>1988</v>
      </c>
      <c r="AG203" s="51">
        <v>1989</v>
      </c>
      <c r="AH203" s="51">
        <v>1990</v>
      </c>
      <c r="AI203" s="51">
        <v>1991</v>
      </c>
      <c r="AJ203" s="51">
        <v>1992</v>
      </c>
      <c r="AK203" s="51">
        <v>1993</v>
      </c>
      <c r="AL203" s="51">
        <v>1994</v>
      </c>
      <c r="AM203" s="51">
        <v>1995</v>
      </c>
      <c r="AN203" s="51">
        <v>1996</v>
      </c>
      <c r="AO203" s="51">
        <v>1997</v>
      </c>
      <c r="AP203" s="51">
        <v>1998</v>
      </c>
      <c r="AQ203" s="51">
        <v>1999</v>
      </c>
      <c r="AR203" s="51">
        <v>2000</v>
      </c>
      <c r="AS203" s="51">
        <v>2001</v>
      </c>
      <c r="AT203" s="51">
        <v>2002</v>
      </c>
      <c r="AU203" s="51">
        <v>2003</v>
      </c>
      <c r="AV203" s="51">
        <v>2004</v>
      </c>
      <c r="AW203" s="51">
        <v>2005</v>
      </c>
      <c r="AX203" s="51">
        <v>2006</v>
      </c>
      <c r="AY203" s="51">
        <v>2007</v>
      </c>
      <c r="AZ203" s="51">
        <v>2008</v>
      </c>
      <c r="BA203" s="51">
        <v>2009</v>
      </c>
      <c r="BB203" s="51">
        <v>2010</v>
      </c>
      <c r="BC203" s="51">
        <v>2011</v>
      </c>
      <c r="BD203" s="51">
        <v>2012</v>
      </c>
      <c r="BE203" s="51">
        <v>2013</v>
      </c>
      <c r="BF203" s="51">
        <v>2014</v>
      </c>
      <c r="BG203" s="51">
        <v>2015</v>
      </c>
      <c r="BH203" s="51">
        <v>2016</v>
      </c>
      <c r="BI203" s="51">
        <v>2017</v>
      </c>
      <c r="BJ203" s="51">
        <v>2018</v>
      </c>
      <c r="BK203" s="51">
        <v>2019</v>
      </c>
    </row>
    <row r="204" spans="2:64" s="51" customFormat="1">
      <c r="C204" s="272" t="s">
        <v>564</v>
      </c>
      <c r="D204" s="268">
        <f>D226</f>
        <v>6.5438872147933882</v>
      </c>
      <c r="E204" s="268">
        <f t="shared" ref="E204:BL204" si="131">E226</f>
        <v>7.0428250330699669</v>
      </c>
      <c r="F204" s="268">
        <f t="shared" si="131"/>
        <v>7.4871045981392932</v>
      </c>
      <c r="G204" s="268">
        <f t="shared" si="131"/>
        <v>7.9915690656675578</v>
      </c>
      <c r="H204" s="268">
        <f t="shared" si="131"/>
        <v>8.8949596685803982</v>
      </c>
      <c r="I204" s="268">
        <f t="shared" si="131"/>
        <v>9.6176263261250021</v>
      </c>
      <c r="J204" s="268">
        <f t="shared" si="131"/>
        <v>10.208908891458524</v>
      </c>
      <c r="K204" s="268">
        <f t="shared" si="131"/>
        <v>10.967285368515768</v>
      </c>
      <c r="L204" s="268">
        <f t="shared" si="131"/>
        <v>11.675838396461234</v>
      </c>
      <c r="M204" s="268">
        <f t="shared" si="131"/>
        <v>12.107618310894328</v>
      </c>
      <c r="N204" s="268">
        <f t="shared" si="131"/>
        <v>12.025529773165252</v>
      </c>
      <c r="O204" s="268">
        <f t="shared" si="131"/>
        <v>12.717726504840185</v>
      </c>
      <c r="P204" s="268">
        <f t="shared" si="131"/>
        <v>13.597761745529283</v>
      </c>
      <c r="Q204" s="268">
        <f t="shared" si="131"/>
        <v>14.505932063775447</v>
      </c>
      <c r="R204" s="268">
        <f t="shared" si="131"/>
        <v>14.04698840057708</v>
      </c>
      <c r="S204" s="268">
        <f t="shared" si="131"/>
        <v>13.740329745648701</v>
      </c>
      <c r="T204" s="268">
        <f t="shared" si="131"/>
        <v>14.38434895445473</v>
      </c>
      <c r="U204" s="268">
        <f t="shared" si="131"/>
        <v>14.817243547939031</v>
      </c>
      <c r="V204" s="268">
        <f t="shared" si="131"/>
        <v>15.75615801689573</v>
      </c>
      <c r="W204" s="268">
        <f t="shared" si="131"/>
        <v>16.05636240053478</v>
      </c>
      <c r="X204" s="268">
        <f t="shared" si="131"/>
        <v>16.496450451990619</v>
      </c>
      <c r="Y204" s="268">
        <f t="shared" si="131"/>
        <v>16.120415199838838</v>
      </c>
      <c r="Z204" s="268">
        <f t="shared" si="131"/>
        <v>16.659250201399971</v>
      </c>
      <c r="AA204" s="268">
        <f t="shared" si="131"/>
        <v>17.011657361351951</v>
      </c>
      <c r="AB204" s="268">
        <f t="shared" si="131"/>
        <v>17.597446261517199</v>
      </c>
      <c r="AC204" s="268">
        <f t="shared" si="131"/>
        <v>17.78804680644836</v>
      </c>
      <c r="AD204" s="268">
        <f t="shared" si="131"/>
        <v>18.754249263625539</v>
      </c>
      <c r="AE204" s="268">
        <f t="shared" si="131"/>
        <v>19.369814850502323</v>
      </c>
      <c r="AF204" s="268">
        <f t="shared" si="131"/>
        <v>20.362527459701511</v>
      </c>
      <c r="AG204" s="268">
        <f t="shared" si="131"/>
        <v>20.808700159033009</v>
      </c>
      <c r="AH204" s="268">
        <f t="shared" si="131"/>
        <v>21.515020074175361</v>
      </c>
      <c r="AI204" s="268">
        <f t="shared" si="131"/>
        <v>21.308590259112584</v>
      </c>
      <c r="AJ204" s="268">
        <f t="shared" si="131"/>
        <v>21.504010496757502</v>
      </c>
      <c r="AK204" s="268">
        <f t="shared" si="131"/>
        <v>21.372669288801454</v>
      </c>
      <c r="AL204" s="268">
        <f t="shared" si="131"/>
        <v>20.592872589414142</v>
      </c>
      <c r="AM204" s="268">
        <f t="shared" si="131"/>
        <v>19.904985890799242</v>
      </c>
      <c r="AN204" s="268">
        <f t="shared" si="131"/>
        <v>20.434516695862943</v>
      </c>
      <c r="AO204" s="268">
        <f t="shared" si="131"/>
        <v>20.367755840543445</v>
      </c>
      <c r="AP204" s="268">
        <f t="shared" si="131"/>
        <v>20.045429136315505</v>
      </c>
      <c r="AQ204" s="268">
        <f t="shared" si="131"/>
        <v>20.162463981616717</v>
      </c>
      <c r="AR204" s="268">
        <f t="shared" si="131"/>
        <v>19.924240143247921</v>
      </c>
      <c r="AS204" s="268">
        <f t="shared" si="131"/>
        <v>19.595718518089711</v>
      </c>
      <c r="AT204" s="268">
        <f t="shared" si="131"/>
        <v>19.567260255764662</v>
      </c>
      <c r="AU204" s="268">
        <f t="shared" si="131"/>
        <v>18.75297280468007</v>
      </c>
      <c r="AV204" s="268">
        <f t="shared" si="131"/>
        <v>18.386576686108576</v>
      </c>
      <c r="AW204" s="268">
        <f t="shared" si="131"/>
        <v>17.815769988989214</v>
      </c>
      <c r="AX204" s="268">
        <f t="shared" si="131"/>
        <v>17.062957646129924</v>
      </c>
      <c r="AY204" s="268">
        <f t="shared" si="131"/>
        <v>16.596698498754606</v>
      </c>
      <c r="AZ204" s="268">
        <f t="shared" si="131"/>
        <v>15.59006082798421</v>
      </c>
      <c r="BA204" s="268">
        <f t="shared" si="131"/>
        <v>14.730537789600652</v>
      </c>
      <c r="BB204" s="268">
        <f t="shared" si="131"/>
        <v>13.756184731831965</v>
      </c>
      <c r="BC204" s="268">
        <f t="shared" si="131"/>
        <v>13.071047285083079</v>
      </c>
      <c r="BD204" s="268">
        <f t="shared" si="131"/>
        <v>12.451023554465582</v>
      </c>
      <c r="BE204" s="268">
        <f t="shared" si="131"/>
        <v>11.816283224564971</v>
      </c>
      <c r="BF204" s="268">
        <f t="shared" si="131"/>
        <v>11.555918823238915</v>
      </c>
      <c r="BG204" s="268">
        <f t="shared" si="131"/>
        <v>11.305379674271336</v>
      </c>
      <c r="BH204" s="268">
        <f t="shared" si="131"/>
        <v>11.165761309788699</v>
      </c>
      <c r="BI204" s="268">
        <f t="shared" si="131"/>
        <v>11.001545551081506</v>
      </c>
      <c r="BJ204" s="268">
        <f t="shared" si="131"/>
        <v>10.803436773393853</v>
      </c>
      <c r="BK204" s="268">
        <f t="shared" si="131"/>
        <v>9.6926454434271818</v>
      </c>
      <c r="BL204" s="268">
        <f t="shared" si="131"/>
        <v>0</v>
      </c>
    </row>
    <row r="205" spans="2:64" s="51" customFormat="1">
      <c r="C205" s="202" t="s">
        <v>568</v>
      </c>
      <c r="D205" s="268">
        <f t="shared" ref="D205:AI205" si="132">D204*$H$188</f>
        <v>1732.2772022552592</v>
      </c>
      <c r="E205" s="268">
        <f t="shared" si="132"/>
        <v>1864.3544492453395</v>
      </c>
      <c r="F205" s="268">
        <f t="shared" si="132"/>
        <v>1981.9627356867152</v>
      </c>
      <c r="G205" s="268">
        <f t="shared" si="132"/>
        <v>2115.502979851</v>
      </c>
      <c r="H205" s="268">
        <f t="shared" si="132"/>
        <v>2354.6456934692628</v>
      </c>
      <c r="I205" s="268">
        <f t="shared" si="132"/>
        <v>2545.947733771015</v>
      </c>
      <c r="J205" s="268">
        <f t="shared" si="132"/>
        <v>2702.4701912031614</v>
      </c>
      <c r="K205" s="268">
        <f t="shared" si="132"/>
        <v>2903.2252223967121</v>
      </c>
      <c r="L205" s="268">
        <f t="shared" si="132"/>
        <v>3090.7911471461684</v>
      </c>
      <c r="M205" s="268">
        <f t="shared" si="132"/>
        <v>3205.0905654603011</v>
      </c>
      <c r="N205" s="268">
        <f t="shared" si="132"/>
        <v>3183.3603464319099</v>
      </c>
      <c r="O205" s="268">
        <f t="shared" si="132"/>
        <v>3366.5964839749599</v>
      </c>
      <c r="P205" s="268">
        <f t="shared" si="132"/>
        <v>3599.5566397032972</v>
      </c>
      <c r="Q205" s="268">
        <f t="shared" si="132"/>
        <v>3839.9646245026511</v>
      </c>
      <c r="R205" s="268">
        <f t="shared" si="132"/>
        <v>3718.4745042143923</v>
      </c>
      <c r="S205" s="268">
        <f t="shared" si="132"/>
        <v>3637.2967914314154</v>
      </c>
      <c r="T205" s="268">
        <f t="shared" si="132"/>
        <v>3807.7795269387043</v>
      </c>
      <c r="U205" s="268">
        <f t="shared" si="132"/>
        <v>3922.3740195786709</v>
      </c>
      <c r="V205" s="268">
        <f t="shared" si="132"/>
        <v>4170.9204990724575</v>
      </c>
      <c r="W205" s="268">
        <f t="shared" si="132"/>
        <v>4250.3896574985683</v>
      </c>
      <c r="X205" s="268">
        <f t="shared" si="132"/>
        <v>4366.8883796645732</v>
      </c>
      <c r="Y205" s="268">
        <f t="shared" si="132"/>
        <v>4267.3455126857143</v>
      </c>
      <c r="Z205" s="268">
        <f t="shared" si="132"/>
        <v>4409.9842163099784</v>
      </c>
      <c r="AA205" s="268">
        <f t="shared" si="132"/>
        <v>4503.2723291790835</v>
      </c>
      <c r="AB205" s="268">
        <f t="shared" si="132"/>
        <v>4658.3405208796457</v>
      </c>
      <c r="AC205" s="268">
        <f t="shared" si="132"/>
        <v>4708.7956965090907</v>
      </c>
      <c r="AD205" s="268">
        <f t="shared" si="132"/>
        <v>4964.5657662540789</v>
      </c>
      <c r="AE205" s="268">
        <f t="shared" si="132"/>
        <v>5127.5163486279525</v>
      </c>
      <c r="AF205" s="268">
        <f t="shared" si="132"/>
        <v>5390.3041022768184</v>
      </c>
      <c r="AG205" s="268">
        <f t="shared" si="132"/>
        <v>5508.4135332543892</v>
      </c>
      <c r="AH205" s="268">
        <f t="shared" si="132"/>
        <v>5695.3883154196401</v>
      </c>
      <c r="AI205" s="268">
        <f t="shared" si="132"/>
        <v>5640.7428652825065</v>
      </c>
      <c r="AJ205" s="268">
        <f t="shared" ref="AJ205:BK205" si="133">AJ204*$H$188</f>
        <v>5692.473894779213</v>
      </c>
      <c r="AK205" s="268">
        <f t="shared" si="133"/>
        <v>5657.705664094462</v>
      </c>
      <c r="AL205" s="268">
        <f t="shared" si="133"/>
        <v>5451.2803391455836</v>
      </c>
      <c r="AM205" s="268">
        <f t="shared" si="133"/>
        <v>5269.1851399723118</v>
      </c>
      <c r="AN205" s="268">
        <f t="shared" si="133"/>
        <v>5409.3608660193695</v>
      </c>
      <c r="AO205" s="268">
        <f t="shared" si="133"/>
        <v>5391.6881427775043</v>
      </c>
      <c r="AP205" s="268">
        <f t="shared" si="133"/>
        <v>5306.362833357457</v>
      </c>
      <c r="AQ205" s="268">
        <f t="shared" si="133"/>
        <v>5337.3439288027521</v>
      </c>
      <c r="AR205" s="268">
        <f t="shared" si="133"/>
        <v>5274.2820650060921</v>
      </c>
      <c r="AS205" s="268">
        <f t="shared" si="133"/>
        <v>5187.3168556389583</v>
      </c>
      <c r="AT205" s="268">
        <f t="shared" si="133"/>
        <v>5179.7834741145889</v>
      </c>
      <c r="AU205" s="268">
        <f t="shared" si="133"/>
        <v>4964.2278660644406</v>
      </c>
      <c r="AV205" s="268">
        <f t="shared" si="133"/>
        <v>4867.2366401518993</v>
      </c>
      <c r="AW205" s="268">
        <f t="shared" si="133"/>
        <v>4716.134490029388</v>
      </c>
      <c r="AX205" s="268">
        <f t="shared" si="133"/>
        <v>4516.852378906895</v>
      </c>
      <c r="AY205" s="268">
        <f t="shared" si="133"/>
        <v>4393.4257267000321</v>
      </c>
      <c r="AZ205" s="268">
        <f t="shared" si="133"/>
        <v>4126.9517746330039</v>
      </c>
      <c r="BA205" s="268">
        <f t="shared" si="133"/>
        <v>3899.4215444604747</v>
      </c>
      <c r="BB205" s="268">
        <f t="shared" si="133"/>
        <v>3641.4938734112593</v>
      </c>
      <c r="BC205" s="268">
        <f t="shared" si="133"/>
        <v>3460.1264475284547</v>
      </c>
      <c r="BD205" s="268">
        <f t="shared" si="133"/>
        <v>3295.9957193921418</v>
      </c>
      <c r="BE205" s="268">
        <f t="shared" si="133"/>
        <v>3127.9692594688827</v>
      </c>
      <c r="BF205" s="268">
        <f t="shared" si="133"/>
        <v>3059.0464156160174</v>
      </c>
      <c r="BG205" s="268">
        <f t="shared" si="133"/>
        <v>2992.7244816059315</v>
      </c>
      <c r="BH205" s="268">
        <f t="shared" si="133"/>
        <v>2955.7651481286239</v>
      </c>
      <c r="BI205" s="268">
        <f t="shared" si="133"/>
        <v>2912.2944699640548</v>
      </c>
      <c r="BJ205" s="268">
        <f t="shared" si="133"/>
        <v>2859.8517386194239</v>
      </c>
      <c r="BK205" s="268">
        <f t="shared" si="133"/>
        <v>2565.8065581013152</v>
      </c>
    </row>
    <row r="206" spans="2:64" s="203" customFormat="1">
      <c r="C206" s="273" t="s">
        <v>85</v>
      </c>
      <c r="D206" s="274">
        <f t="shared" ref="D206" si="134">D198*1000/D205</f>
        <v>24.220779209476884</v>
      </c>
      <c r="E206" s="274">
        <f t="shared" ref="E206" si="135">E198*1000/E205</f>
        <v>25.420725904025485</v>
      </c>
      <c r="F206" s="274">
        <f t="shared" ref="F206" si="136">F198*1000/F205</f>
        <v>26.00539031024859</v>
      </c>
      <c r="G206" s="274">
        <f t="shared" ref="G206" si="137">G198*1000/G205</f>
        <v>26.601967718356196</v>
      </c>
      <c r="H206" s="274">
        <f t="shared" ref="H206" si="138">H198*1000/H205</f>
        <v>27.641462268199948</v>
      </c>
      <c r="I206" s="274">
        <f t="shared" ref="I206" si="139">I198*1000/I205</f>
        <v>28.015060295639667</v>
      </c>
      <c r="J206" s="274">
        <f t="shared" ref="J206" si="140">J198*1000/J205</f>
        <v>28.807686032887197</v>
      </c>
      <c r="K206" s="274">
        <f t="shared" ref="K206" si="141">K198*1000/K205</f>
        <v>28.620718623231351</v>
      </c>
      <c r="L206" s="274">
        <f t="shared" ref="L206" si="142">L198*1000/L205</f>
        <v>28.414488105593076</v>
      </c>
      <c r="M206" s="274">
        <f t="shared" ref="M206" si="143">M198*1000/M205</f>
        <v>28.380490774705198</v>
      </c>
      <c r="N206" s="274">
        <f>N198*1000/N205</f>
        <v>29.942587036573425</v>
      </c>
      <c r="O206" s="274">
        <f>O198*1000/O205</f>
        <v>30.160144788476053</v>
      </c>
      <c r="P206" s="274">
        <f t="shared" ref="P206" si="144">P198*1000/P205</f>
        <v>29.861100361165246</v>
      </c>
      <c r="Q206" s="274">
        <f t="shared" ref="Q206" si="145">Q198*1000/Q205</f>
        <v>29.452373197572793</v>
      </c>
      <c r="R206" s="274">
        <f t="shared" ref="R206" si="146">R198*1000/R205</f>
        <v>29.750318224594487</v>
      </c>
      <c r="S206" s="274">
        <f t="shared" ref="S206" si="147">S198*1000/S205</f>
        <v>30.678338065917288</v>
      </c>
      <c r="T206" s="274">
        <f t="shared" ref="T206" si="148">T198*1000/T205</f>
        <v>30.73835889665401</v>
      </c>
      <c r="U206" s="274">
        <f t="shared" ref="U206" si="149">U198*1000/U205</f>
        <v>30.412684226581764</v>
      </c>
      <c r="V206" s="274">
        <f t="shared" ref="V206" si="150">V198*1000/V205</f>
        <v>29.843340767017452</v>
      </c>
      <c r="W206" s="274">
        <f t="shared" ref="W206" si="151">W198*1000/W205</f>
        <v>29.148054332046652</v>
      </c>
      <c r="X206" s="274">
        <f t="shared" ref="X206" si="152">X198*1000/X205</f>
        <v>30.272886494314946</v>
      </c>
      <c r="Y206" s="274">
        <f t="shared" ref="Y206" si="153">Y198*1000/Y205</f>
        <v>31.62264775435618</v>
      </c>
      <c r="Z206" s="274">
        <f t="shared" ref="Z206" si="154">Z198*1000/Z205</f>
        <v>31.659587702963108</v>
      </c>
      <c r="AA206" s="274">
        <f t="shared" ref="AA206" si="155">AA198*1000/AA205</f>
        <v>31.53667914935847</v>
      </c>
      <c r="AB206" s="274">
        <f t="shared" ref="AB206" si="156">AB198*1000/AB205</f>
        <v>32.138257863598703</v>
      </c>
      <c r="AC206" s="274">
        <f t="shared" ref="AC206" si="157">AC198*1000/AC205</f>
        <v>32.62703045345657</v>
      </c>
      <c r="AD206" s="274">
        <f t="shared" ref="AD206" si="158">AD198*1000/AD205</f>
        <v>32.6184837879645</v>
      </c>
      <c r="AE206" s="274">
        <f t="shared" ref="AE206" si="159">AE198*1000/AE205</f>
        <v>33.773029295153989</v>
      </c>
      <c r="AF206" s="274">
        <f t="shared" ref="AF206" si="160">AF198*1000/AF205</f>
        <v>34.389707960871185</v>
      </c>
      <c r="AG206" s="274">
        <f t="shared" ref="AG206" si="161">AG198*1000/AG205</f>
        <v>36.181855946880376</v>
      </c>
      <c r="AH206" s="274">
        <f t="shared" ref="AH206" si="162">AH198*1000/AH205</f>
        <v>34.810154086000871</v>
      </c>
      <c r="AI206" s="274">
        <f t="shared" ref="AI206" si="163">AI198*1000/AI205</f>
        <v>34.831522048634859</v>
      </c>
      <c r="AJ206" s="274">
        <f t="shared" ref="AJ206" si="164">AJ198*1000/AJ205</f>
        <v>34.301618090778966</v>
      </c>
      <c r="AK206" s="274">
        <f t="shared" ref="AK206" si="165">AK198*1000/AK205</f>
        <v>33.845235975139126</v>
      </c>
      <c r="AL206" s="274">
        <f t="shared" ref="AL206" si="166">AL198*1000/AL205</f>
        <v>34.738790468516989</v>
      </c>
      <c r="AM206" s="274">
        <f t="shared" ref="AM206" si="167">AM198*1000/AM205</f>
        <v>35.697067911291043</v>
      </c>
      <c r="AN206" s="274">
        <f t="shared" ref="AN206" si="168">AN198*1000/AN205</f>
        <v>35.050067290363543</v>
      </c>
      <c r="AO206" s="274">
        <f t="shared" ref="AO206" si="169">AO198*1000/AO205</f>
        <v>35.219222840447067</v>
      </c>
      <c r="AP206" s="274">
        <f t="shared" ref="AP206" si="170">AP198*1000/AP205</f>
        <v>35.973899189242999</v>
      </c>
      <c r="AQ206" s="274">
        <f t="shared" ref="AQ206" si="171">AQ198*1000/AQ205</f>
        <v>35.875765640310618</v>
      </c>
      <c r="AR206" s="274">
        <f t="shared" ref="AR206" si="172">AR198*1000/AR205</f>
        <v>35.811314948689954</v>
      </c>
      <c r="AS206" s="274">
        <f t="shared" ref="AS206" si="173">AS198*1000/AS205</f>
        <v>36.242255067001487</v>
      </c>
      <c r="AT206" s="274">
        <f t="shared" ref="AT206" si="174">AT198*1000/AT205</f>
        <v>36.271642701528236</v>
      </c>
      <c r="AU206" s="274">
        <f t="shared" ref="AU206" si="175">AU198*1000/AU205</f>
        <v>36.656867171323604</v>
      </c>
      <c r="AV206" s="274">
        <f t="shared" ref="AV206" si="176">AV198*1000/AV205</f>
        <v>36.725945898201999</v>
      </c>
      <c r="AW206" s="274">
        <f t="shared" ref="AW206" si="177">AW198*1000/AW205</f>
        <v>36.423294675172009</v>
      </c>
      <c r="AX206" s="274">
        <f t="shared" ref="AX206" si="178">AX198*1000/AX205</f>
        <v>36.932644206067735</v>
      </c>
      <c r="AY206" s="274">
        <f t="shared" ref="AY206" si="179">AY198*1000/AY205</f>
        <v>36.734282980506116</v>
      </c>
      <c r="AZ206" s="274">
        <f t="shared" ref="AZ206" si="180">AZ198*1000/AZ205</f>
        <v>37.364735229829975</v>
      </c>
      <c r="BA206" s="274">
        <f t="shared" ref="BA206" si="181">BA198*1000/BA205</f>
        <v>38.319982721876443</v>
      </c>
      <c r="BB206" s="274">
        <f t="shared" ref="BB206" si="182">BB198*1000/BB205</f>
        <v>38.933706016199984</v>
      </c>
      <c r="BC206" s="274">
        <f t="shared" ref="BC206" si="183">BC198*1000/BC205</f>
        <v>39.607569198191023</v>
      </c>
      <c r="BD206" s="274">
        <f t="shared" ref="BD206" si="184">BD198*1000/BD205</f>
        <v>39.817595026795182</v>
      </c>
      <c r="BE206" s="274">
        <f t="shared" ref="BE206" si="185">BE198*1000/BE205</f>
        <v>40.575355256450443</v>
      </c>
      <c r="BF206" s="274">
        <f t="shared" ref="BF206" si="186">BF198*1000/BF205</f>
        <v>41.485214775421582</v>
      </c>
      <c r="BG206" s="278">
        <f t="shared" ref="BG206" si="187">BG198*1000/BG205</f>
        <v>41.826811757489928</v>
      </c>
      <c r="BH206" s="278">
        <f t="shared" ref="BH206" si="188">BH198*1000/BH205</f>
        <v>42.106268825813771</v>
      </c>
      <c r="BI206" s="278">
        <f t="shared" ref="BI206" si="189">BI198*1000/BI205</f>
        <v>42.942067053930188</v>
      </c>
      <c r="BJ206" s="278">
        <f t="shared" ref="BJ206" si="190">BJ198*1000/BJ205</f>
        <v>44.250458821921178</v>
      </c>
      <c r="BK206" s="274">
        <f t="shared" ref="BK206" si="191">BK198*1000/BK205</f>
        <v>0</v>
      </c>
    </row>
    <row r="207" spans="2:64" s="203" customFormat="1">
      <c r="C207" s="273" t="s">
        <v>86</v>
      </c>
      <c r="D207" s="274">
        <f t="shared" ref="D207:AI207" si="192">$K$186/D206</f>
        <v>11.663538879437288</v>
      </c>
      <c r="E207" s="274">
        <f t="shared" si="192"/>
        <v>11.11297927000837</v>
      </c>
      <c r="F207" s="274">
        <f t="shared" si="192"/>
        <v>10.863132474834197</v>
      </c>
      <c r="G207" s="274">
        <f t="shared" si="192"/>
        <v>10.619515179888971</v>
      </c>
      <c r="H207" s="274">
        <f t="shared" si="192"/>
        <v>10.22015395781002</v>
      </c>
      <c r="I207" s="274">
        <f t="shared" si="192"/>
        <v>10.083861930647673</v>
      </c>
      <c r="J207" s="274">
        <f t="shared" si="192"/>
        <v>9.8064106807292557</v>
      </c>
      <c r="K207" s="274">
        <f t="shared" si="192"/>
        <v>9.8704719374409979</v>
      </c>
      <c r="L207" s="274">
        <f t="shared" si="192"/>
        <v>9.9421111846246149</v>
      </c>
      <c r="M207" s="274">
        <f t="shared" si="192"/>
        <v>9.9540209590661828</v>
      </c>
      <c r="N207" s="274">
        <f t="shared" si="192"/>
        <v>9.4347225126185617</v>
      </c>
      <c r="O207" s="274">
        <f t="shared" si="192"/>
        <v>9.3666659089760387</v>
      </c>
      <c r="P207" s="274">
        <f t="shared" si="192"/>
        <v>9.4604685220305864</v>
      </c>
      <c r="Q207" s="274">
        <f t="shared" si="192"/>
        <v>9.5917567696473842</v>
      </c>
      <c r="R207" s="274">
        <f t="shared" si="192"/>
        <v>9.4956967474202756</v>
      </c>
      <c r="S207" s="274">
        <f t="shared" si="192"/>
        <v>9.2084518852684862</v>
      </c>
      <c r="T207" s="274">
        <f t="shared" si="192"/>
        <v>9.1904711292427272</v>
      </c>
      <c r="U207" s="274">
        <f t="shared" si="192"/>
        <v>9.2888874226065514</v>
      </c>
      <c r="V207" s="274">
        <f t="shared" si="192"/>
        <v>9.466098390439452</v>
      </c>
      <c r="W207" s="274">
        <f t="shared" si="192"/>
        <v>9.691899046908496</v>
      </c>
      <c r="X207" s="274">
        <f t="shared" si="192"/>
        <v>9.3317827506488911</v>
      </c>
      <c r="Y207" s="274">
        <f t="shared" si="192"/>
        <v>8.9334707894940326</v>
      </c>
      <c r="Z207" s="274">
        <f t="shared" si="192"/>
        <v>8.9230473451036136</v>
      </c>
      <c r="AA207" s="274">
        <f t="shared" si="192"/>
        <v>8.9578233225531836</v>
      </c>
      <c r="AB207" s="274">
        <f t="shared" si="192"/>
        <v>8.7901466594420707</v>
      </c>
      <c r="AC207" s="274">
        <f t="shared" si="192"/>
        <v>8.6584649621421921</v>
      </c>
      <c r="AD207" s="274">
        <f t="shared" si="192"/>
        <v>8.6607336452663759</v>
      </c>
      <c r="AE207" s="274">
        <f t="shared" si="192"/>
        <v>8.364662747043992</v>
      </c>
      <c r="AF207" s="274">
        <f t="shared" si="192"/>
        <v>8.2146670254202263</v>
      </c>
      <c r="AG207" s="274">
        <f t="shared" si="192"/>
        <v>7.8077807952899478</v>
      </c>
      <c r="AH207" s="274">
        <f t="shared" si="192"/>
        <v>8.1154481333827011</v>
      </c>
      <c r="AI207" s="274">
        <f t="shared" si="192"/>
        <v>8.1104695799841426</v>
      </c>
      <c r="AJ207" s="274">
        <f t="shared" ref="AJ207:BK207" si="193">$K$186/AJ206</f>
        <v>8.2357630841893794</v>
      </c>
      <c r="AK207" s="274">
        <f t="shared" si="193"/>
        <v>8.3468172657300777</v>
      </c>
      <c r="AL207" s="274">
        <f t="shared" si="193"/>
        <v>8.1321196331237733</v>
      </c>
      <c r="AM207" s="274">
        <f t="shared" si="193"/>
        <v>7.9138152383278735</v>
      </c>
      <c r="AN207" s="274">
        <f t="shared" si="193"/>
        <v>8.0598989342787615</v>
      </c>
      <c r="AO207" s="274">
        <f t="shared" si="193"/>
        <v>8.0211877837226577</v>
      </c>
      <c r="AP207" s="274">
        <f t="shared" si="193"/>
        <v>7.8529157630061359</v>
      </c>
      <c r="AQ207" s="274">
        <f t="shared" si="193"/>
        <v>7.8743964054269053</v>
      </c>
      <c r="AR207" s="274">
        <f t="shared" si="193"/>
        <v>7.8885681914993286</v>
      </c>
      <c r="AS207" s="274">
        <f t="shared" si="193"/>
        <v>7.7947688265462203</v>
      </c>
      <c r="AT207" s="274">
        <f t="shared" si="193"/>
        <v>7.7884534297118391</v>
      </c>
      <c r="AU207" s="274">
        <f t="shared" si="193"/>
        <v>7.7066051138433798</v>
      </c>
      <c r="AV207" s="274">
        <f t="shared" si="193"/>
        <v>7.6921095724271167</v>
      </c>
      <c r="AW207" s="274">
        <f t="shared" si="193"/>
        <v>7.7560254370005284</v>
      </c>
      <c r="AX207" s="274">
        <f t="shared" si="193"/>
        <v>7.6490596888697056</v>
      </c>
      <c r="AY207" s="274">
        <f t="shared" si="193"/>
        <v>7.6903637985778861</v>
      </c>
      <c r="AZ207" s="274">
        <f t="shared" si="193"/>
        <v>7.5606048928848653</v>
      </c>
      <c r="BA207" s="274">
        <f t="shared" si="193"/>
        <v>7.3721327603502278</v>
      </c>
      <c r="BB207" s="274">
        <f t="shared" si="193"/>
        <v>7.255923694560547</v>
      </c>
      <c r="BC207" s="274">
        <f t="shared" si="193"/>
        <v>7.1324750727924622</v>
      </c>
      <c r="BD207" s="274">
        <f t="shared" si="193"/>
        <v>7.0948534136703163</v>
      </c>
      <c r="BE207" s="274">
        <f t="shared" si="193"/>
        <v>6.9623543211020866</v>
      </c>
      <c r="BF207" s="274">
        <f t="shared" si="193"/>
        <v>6.8096549946601828</v>
      </c>
      <c r="BG207" s="274">
        <f t="shared" si="193"/>
        <v>6.7540409639138401</v>
      </c>
      <c r="BH207" s="274">
        <f t="shared" si="193"/>
        <v>6.7092147530015733</v>
      </c>
      <c r="BI207" s="274">
        <f t="shared" si="193"/>
        <v>6.5786306850392924</v>
      </c>
      <c r="BJ207" s="274">
        <f t="shared" si="193"/>
        <v>6.3841145949892999</v>
      </c>
      <c r="BK207" s="274" t="e">
        <f t="shared" si="193"/>
        <v>#DIV/0!</v>
      </c>
    </row>
    <row r="208" spans="2:64" s="51" customFormat="1">
      <c r="H208" s="104"/>
      <c r="I208" s="104"/>
      <c r="J208" s="104"/>
      <c r="K208" s="104"/>
      <c r="L208" s="104"/>
      <c r="M208" s="104"/>
      <c r="O208" s="104"/>
      <c r="P208" s="104"/>
      <c r="Q208" s="104"/>
      <c r="R208" s="104"/>
      <c r="S208" s="104"/>
      <c r="T208" s="104"/>
      <c r="U208" s="104"/>
      <c r="V208" s="104"/>
      <c r="W208" s="104"/>
      <c r="X208" s="104"/>
      <c r="Y208" s="104"/>
      <c r="Z208" s="104"/>
      <c r="AA208" s="104"/>
      <c r="AB208" s="104"/>
      <c r="AC208" s="104"/>
      <c r="AD208" s="104"/>
      <c r="AE208" s="104"/>
      <c r="AF208" s="104"/>
      <c r="AG208" s="104"/>
      <c r="AH208" s="104"/>
      <c r="AI208" s="104"/>
      <c r="AJ208" s="104"/>
      <c r="AK208" s="104"/>
      <c r="AL208" s="104"/>
      <c r="AM208" s="104"/>
      <c r="AN208" s="104"/>
      <c r="AO208" s="104"/>
      <c r="AP208" s="104"/>
      <c r="AQ208" s="104"/>
      <c r="AR208" s="104"/>
      <c r="AS208" s="104"/>
      <c r="AT208" s="104"/>
      <c r="AU208" s="104"/>
      <c r="AV208" s="104"/>
      <c r="AW208" s="104"/>
      <c r="AX208" s="104"/>
      <c r="AY208" s="104"/>
      <c r="AZ208" s="104"/>
      <c r="BA208" s="104"/>
      <c r="BB208" s="104"/>
      <c r="BC208" s="109"/>
      <c r="BK208" s="65"/>
    </row>
    <row r="209" spans="2:64" s="51" customFormat="1">
      <c r="H209" s="104"/>
      <c r="I209" s="104"/>
      <c r="J209" s="104"/>
      <c r="K209" s="104"/>
      <c r="L209" s="104"/>
      <c r="M209" s="104"/>
      <c r="O209" s="104"/>
      <c r="P209" s="104"/>
      <c r="Q209" s="104"/>
      <c r="R209" s="104"/>
      <c r="S209" s="104"/>
      <c r="T209" s="104"/>
      <c r="U209" s="104"/>
      <c r="V209" s="104"/>
      <c r="W209" s="104"/>
      <c r="X209" s="104"/>
      <c r="Y209" s="104"/>
      <c r="Z209" s="104"/>
      <c r="AA209" s="104"/>
      <c r="AB209" s="104"/>
      <c r="AC209" s="104"/>
      <c r="AD209" s="104"/>
      <c r="AE209" s="104"/>
      <c r="AF209" s="104"/>
      <c r="AG209" s="104"/>
      <c r="AH209" s="104"/>
      <c r="AI209" s="104"/>
      <c r="AJ209" s="104"/>
      <c r="AK209" s="104"/>
      <c r="AL209" s="104"/>
      <c r="AM209" s="104"/>
      <c r="AN209" s="104"/>
      <c r="AO209" s="104"/>
      <c r="AP209" s="104"/>
      <c r="AQ209" s="104"/>
      <c r="AR209" s="104"/>
      <c r="AS209" s="104"/>
      <c r="AT209" s="104"/>
      <c r="AU209" s="104"/>
      <c r="AV209" s="104"/>
      <c r="AW209" s="104"/>
      <c r="AX209" s="104"/>
      <c r="AY209" s="104"/>
      <c r="AZ209" s="104"/>
      <c r="BA209" s="104"/>
      <c r="BB209" s="104"/>
      <c r="BC209" s="109"/>
      <c r="BK209" s="65"/>
    </row>
    <row r="210" spans="2:64" s="51" customFormat="1">
      <c r="B210" s="51" t="s">
        <v>573</v>
      </c>
      <c r="D210" s="51">
        <v>1960</v>
      </c>
      <c r="E210" s="51">
        <v>1961</v>
      </c>
      <c r="F210" s="51">
        <v>1962</v>
      </c>
      <c r="G210" s="51">
        <v>1963</v>
      </c>
      <c r="H210" s="51">
        <v>1964</v>
      </c>
      <c r="I210" s="51">
        <v>1965</v>
      </c>
      <c r="J210" s="51">
        <v>1966</v>
      </c>
      <c r="K210" s="51">
        <v>1967</v>
      </c>
      <c r="L210" s="51">
        <v>1968</v>
      </c>
      <c r="M210" s="51">
        <v>1969</v>
      </c>
      <c r="N210" s="51">
        <v>1970</v>
      </c>
      <c r="O210" s="51">
        <v>1971</v>
      </c>
      <c r="P210" s="51">
        <v>1972</v>
      </c>
      <c r="Q210" s="51">
        <v>1973</v>
      </c>
      <c r="R210" s="51">
        <v>1974</v>
      </c>
      <c r="S210" s="51">
        <v>1975</v>
      </c>
      <c r="T210" s="51">
        <v>1976</v>
      </c>
      <c r="U210" s="51">
        <v>1977</v>
      </c>
      <c r="V210" s="51">
        <v>1978</v>
      </c>
      <c r="W210" s="51">
        <v>1979</v>
      </c>
      <c r="X210" s="51">
        <v>1980</v>
      </c>
      <c r="Y210" s="51">
        <v>1981</v>
      </c>
      <c r="Z210" s="51">
        <v>1982</v>
      </c>
      <c r="AA210" s="51">
        <v>1983</v>
      </c>
      <c r="AB210" s="51">
        <v>1984</v>
      </c>
      <c r="AC210" s="51">
        <v>1985</v>
      </c>
      <c r="AD210" s="51">
        <v>1986</v>
      </c>
      <c r="AE210" s="51">
        <v>1987</v>
      </c>
      <c r="AF210" s="51">
        <v>1988</v>
      </c>
      <c r="AG210" s="51">
        <v>1989</v>
      </c>
      <c r="AH210" s="51">
        <v>1990</v>
      </c>
      <c r="AI210" s="51">
        <v>1991</v>
      </c>
      <c r="AJ210" s="51">
        <v>1992</v>
      </c>
      <c r="AK210" s="51">
        <v>1993</v>
      </c>
      <c r="AL210" s="51">
        <v>1994</v>
      </c>
      <c r="AM210" s="51">
        <v>1995</v>
      </c>
      <c r="AN210" s="51">
        <v>1996</v>
      </c>
      <c r="AO210" s="51">
        <v>1997</v>
      </c>
      <c r="AP210" s="51">
        <v>1998</v>
      </c>
      <c r="AQ210" s="51">
        <v>1999</v>
      </c>
      <c r="AR210" s="51">
        <v>2000</v>
      </c>
      <c r="AS210" s="51">
        <v>2001</v>
      </c>
      <c r="AT210" s="51">
        <v>2002</v>
      </c>
      <c r="AU210" s="51">
        <v>2003</v>
      </c>
      <c r="AV210" s="51">
        <v>2004</v>
      </c>
      <c r="AW210" s="51">
        <v>2005</v>
      </c>
      <c r="AX210" s="51">
        <v>2006</v>
      </c>
      <c r="AY210" s="51">
        <v>2007</v>
      </c>
      <c r="AZ210" s="51">
        <v>2008</v>
      </c>
      <c r="BA210" s="51">
        <v>2009</v>
      </c>
      <c r="BB210" s="51">
        <v>2010</v>
      </c>
      <c r="BC210" s="51">
        <v>2011</v>
      </c>
      <c r="BD210" s="51">
        <v>2012</v>
      </c>
      <c r="BE210" s="51">
        <v>2013</v>
      </c>
      <c r="BF210" s="51">
        <v>2014</v>
      </c>
      <c r="BG210" s="51">
        <v>2015</v>
      </c>
      <c r="BH210" s="51">
        <v>2016</v>
      </c>
      <c r="BI210" s="51">
        <v>2017</v>
      </c>
      <c r="BJ210" s="51">
        <v>2018</v>
      </c>
      <c r="BK210" s="51">
        <v>2019</v>
      </c>
    </row>
    <row r="211" spans="2:64" s="51" customFormat="1">
      <c r="C211" s="272" t="s">
        <v>565</v>
      </c>
      <c r="D211" s="268">
        <f t="shared" ref="D211:AI211" si="194">D183</f>
        <v>8.3188865464731307</v>
      </c>
      <c r="E211" s="268">
        <f t="shared" si="194"/>
        <v>9.0660035644409973</v>
      </c>
      <c r="F211" s="268">
        <f t="shared" si="194"/>
        <v>9.1048455511124562</v>
      </c>
      <c r="G211" s="268">
        <f t="shared" si="194"/>
        <v>9.568192914881223</v>
      </c>
      <c r="H211" s="268">
        <f t="shared" si="194"/>
        <v>9.6288689723999887</v>
      </c>
      <c r="I211" s="268">
        <f t="shared" si="194"/>
        <v>10.310616259834919</v>
      </c>
      <c r="J211" s="268">
        <f t="shared" si="194"/>
        <v>10.277405432262851</v>
      </c>
      <c r="K211" s="268">
        <f t="shared" si="194"/>
        <v>10.074736279295783</v>
      </c>
      <c r="L211" s="268">
        <f t="shared" si="194"/>
        <v>10.113967045636789</v>
      </c>
      <c r="M211" s="268">
        <f t="shared" si="194"/>
        <v>10.315858800442292</v>
      </c>
      <c r="N211" s="268">
        <f t="shared" si="194"/>
        <v>10.82003279286659</v>
      </c>
      <c r="O211" s="268">
        <f t="shared" si="194"/>
        <v>11.248525738854694</v>
      </c>
      <c r="P211" s="268">
        <f t="shared" si="194"/>
        <v>11.687550182564562</v>
      </c>
      <c r="Q211" s="268">
        <f t="shared" si="194"/>
        <v>12.174494229242615</v>
      </c>
      <c r="R211" s="268">
        <f t="shared" si="194"/>
        <v>12.27460470879274</v>
      </c>
      <c r="S211" s="268">
        <f t="shared" si="194"/>
        <v>12.182197902999215</v>
      </c>
      <c r="T211" s="268">
        <f t="shared" si="194"/>
        <v>12.56478205732788</v>
      </c>
      <c r="U211" s="268">
        <f t="shared" si="194"/>
        <v>12.591120487107021</v>
      </c>
      <c r="V211" s="268">
        <f t="shared" si="194"/>
        <v>12.993400864325906</v>
      </c>
      <c r="W211" s="268">
        <f t="shared" si="194"/>
        <v>12.86483386246862</v>
      </c>
      <c r="X211" s="268">
        <f t="shared" si="194"/>
        <v>13.320014844128883</v>
      </c>
      <c r="Y211" s="268">
        <f t="shared" si="194"/>
        <v>13.288422554599837</v>
      </c>
      <c r="Z211" s="268">
        <f t="shared" si="194"/>
        <v>13.033160181157287</v>
      </c>
      <c r="AA211" s="268">
        <f t="shared" si="194"/>
        <v>12.926910381418914</v>
      </c>
      <c r="AB211" s="268">
        <f t="shared" si="194"/>
        <v>13.505928180579637</v>
      </c>
      <c r="AC211" s="268">
        <f t="shared" si="194"/>
        <v>13.86674795799599</v>
      </c>
      <c r="AD211" s="268">
        <f t="shared" si="194"/>
        <v>14.271631482282736</v>
      </c>
      <c r="AE211" s="268">
        <f t="shared" si="194"/>
        <v>15.555872510231664</v>
      </c>
      <c r="AF211" s="268">
        <f t="shared" si="194"/>
        <v>16.348357369659123</v>
      </c>
      <c r="AG211" s="268">
        <f t="shared" si="194"/>
        <v>16.122094031454026</v>
      </c>
      <c r="AH211" s="268">
        <f t="shared" si="194"/>
        <v>14.676337415494803</v>
      </c>
      <c r="AI211" s="268">
        <f t="shared" si="194"/>
        <v>14.279861591528075</v>
      </c>
      <c r="AJ211" s="268">
        <f t="shared" ref="AJ211:BK211" si="195">AJ183</f>
        <v>12.975984390562019</v>
      </c>
      <c r="AK211" s="268">
        <f t="shared" si="195"/>
        <v>12.025168023195953</v>
      </c>
      <c r="AL211" s="268">
        <f t="shared" si="195"/>
        <v>11.007762088410107</v>
      </c>
      <c r="AM211" s="268">
        <f t="shared" si="195"/>
        <v>9.9725319770071295</v>
      </c>
      <c r="AN211" s="268">
        <f t="shared" si="195"/>
        <v>9.2833618333619601</v>
      </c>
      <c r="AO211" s="268">
        <f t="shared" si="195"/>
        <v>8.6678520294580661</v>
      </c>
      <c r="AP211" s="268">
        <f t="shared" si="195"/>
        <v>8.3217952792190175</v>
      </c>
      <c r="AQ211" s="268">
        <f t="shared" si="195"/>
        <v>7.1454088127712678</v>
      </c>
      <c r="AR211" s="268">
        <f t="shared" si="195"/>
        <v>6.2277719434718355</v>
      </c>
      <c r="AS211" s="268">
        <f t="shared" si="195"/>
        <v>5.4111341417433172</v>
      </c>
      <c r="AT211" s="268">
        <f t="shared" si="195"/>
        <v>4.6701328956780852</v>
      </c>
      <c r="AU211" s="268">
        <f t="shared" si="195"/>
        <v>4.0794555643808144</v>
      </c>
      <c r="AV211" s="268">
        <f t="shared" si="195"/>
        <v>3.6756628085498897</v>
      </c>
      <c r="AW211" s="268">
        <f t="shared" si="195"/>
        <v>3.1782932202581367</v>
      </c>
      <c r="AX211" s="268">
        <f t="shared" si="195"/>
        <v>3.2009772438065602</v>
      </c>
      <c r="AY211" s="268">
        <f t="shared" si="195"/>
        <v>2.9972526374407051</v>
      </c>
      <c r="AZ211" s="268">
        <f t="shared" si="195"/>
        <v>2.8236716662833494</v>
      </c>
      <c r="BA211" s="268">
        <f t="shared" si="195"/>
        <v>2.4535521848429904</v>
      </c>
      <c r="BB211" s="268">
        <f t="shared" si="195"/>
        <v>2.201064815969398</v>
      </c>
      <c r="BC211" s="268">
        <f t="shared" si="195"/>
        <v>2.0398724705078761</v>
      </c>
      <c r="BD211" s="268">
        <f t="shared" si="195"/>
        <v>1.8521854950888763</v>
      </c>
      <c r="BE211" s="268">
        <f t="shared" si="195"/>
        <v>1.7703372731902738</v>
      </c>
      <c r="BF211" s="268">
        <f t="shared" si="195"/>
        <v>1.7098246624548381</v>
      </c>
      <c r="BG211" s="268">
        <f t="shared" si="195"/>
        <v>1.6073580392692466</v>
      </c>
      <c r="BH211" s="268">
        <f t="shared" si="195"/>
        <v>1.5060007559302386</v>
      </c>
      <c r="BI211" s="268">
        <f t="shared" si="195"/>
        <v>1.4481512523178697</v>
      </c>
      <c r="BJ211" s="268">
        <f t="shared" si="195"/>
        <v>1.3986743110248978</v>
      </c>
      <c r="BK211" s="268">
        <f t="shared" si="195"/>
        <v>0</v>
      </c>
    </row>
    <row r="212" spans="2:64" s="51" customFormat="1">
      <c r="C212" s="272" t="s">
        <v>565</v>
      </c>
      <c r="D212" s="268"/>
      <c r="E212" s="268"/>
      <c r="F212" s="268"/>
      <c r="G212" s="268"/>
      <c r="H212" s="268"/>
      <c r="I212" s="268"/>
      <c r="J212" s="268"/>
      <c r="K212" s="268"/>
      <c r="L212" s="268"/>
      <c r="M212" s="268"/>
      <c r="N212" s="268"/>
      <c r="O212" s="268"/>
      <c r="P212" s="268"/>
      <c r="Q212" s="268"/>
      <c r="R212" s="268"/>
      <c r="S212" s="268"/>
      <c r="T212" s="268"/>
      <c r="U212" s="268"/>
      <c r="V212" s="268"/>
      <c r="W212" s="268"/>
      <c r="X212" s="268"/>
      <c r="Y212" s="268"/>
      <c r="Z212" s="268"/>
      <c r="AA212" s="268"/>
      <c r="AB212" s="268"/>
      <c r="AC212" s="268"/>
      <c r="AD212" s="268"/>
      <c r="AE212" s="268"/>
      <c r="AF212" s="268"/>
      <c r="AG212" s="268"/>
      <c r="AH212" s="268"/>
      <c r="AI212" s="268"/>
      <c r="AJ212" s="268"/>
      <c r="AK212" s="268"/>
      <c r="AL212" s="268"/>
      <c r="AM212" s="268"/>
      <c r="AN212" s="268"/>
      <c r="AO212" s="268"/>
      <c r="AP212" s="268"/>
      <c r="AQ212" s="268"/>
      <c r="AR212" s="268"/>
      <c r="AS212" s="268"/>
      <c r="AT212" s="268"/>
      <c r="AU212" s="268"/>
      <c r="AV212" s="268"/>
      <c r="AW212" s="268"/>
      <c r="AX212" s="268"/>
      <c r="AY212" s="268"/>
      <c r="AZ212" s="268"/>
      <c r="BA212" s="268"/>
      <c r="BB212" s="268"/>
      <c r="BC212" s="268"/>
      <c r="BD212" s="268"/>
      <c r="BE212" s="268"/>
      <c r="BF212" s="268"/>
      <c r="BG212" s="268"/>
      <c r="BH212" s="268"/>
      <c r="BI212" s="268"/>
      <c r="BJ212" s="268"/>
      <c r="BK212" s="268"/>
    </row>
    <row r="213" spans="2:64" s="51" customFormat="1">
      <c r="C213" s="272" t="s">
        <v>565</v>
      </c>
      <c r="D213" s="104">
        <f t="shared" ref="D213" si="196">SUM(D211:D212)</f>
        <v>8.3188865464731307</v>
      </c>
      <c r="E213" s="104">
        <f t="shared" ref="E213:M213" si="197">SUM(E211:E212)</f>
        <v>9.0660035644409973</v>
      </c>
      <c r="F213" s="104">
        <f t="shared" si="197"/>
        <v>9.1048455511124562</v>
      </c>
      <c r="G213" s="104">
        <f t="shared" si="197"/>
        <v>9.568192914881223</v>
      </c>
      <c r="H213" s="104">
        <f t="shared" si="197"/>
        <v>9.6288689723999887</v>
      </c>
      <c r="I213" s="104">
        <f t="shared" si="197"/>
        <v>10.310616259834919</v>
      </c>
      <c r="J213" s="104">
        <f t="shared" si="197"/>
        <v>10.277405432262851</v>
      </c>
      <c r="K213" s="104">
        <f t="shared" si="197"/>
        <v>10.074736279295783</v>
      </c>
      <c r="L213" s="104">
        <f t="shared" si="197"/>
        <v>10.113967045636789</v>
      </c>
      <c r="M213" s="104">
        <f t="shared" si="197"/>
        <v>10.315858800442292</v>
      </c>
      <c r="N213" s="104">
        <f>SUM(N211:N212)</f>
        <v>10.82003279286659</v>
      </c>
      <c r="O213" s="104">
        <f>SUM(O211:O212)</f>
        <v>11.248525738854694</v>
      </c>
      <c r="P213" s="104">
        <f t="shared" ref="P213:BK213" si="198">SUM(P211:P212)</f>
        <v>11.687550182564562</v>
      </c>
      <c r="Q213" s="104">
        <f t="shared" si="198"/>
        <v>12.174494229242615</v>
      </c>
      <c r="R213" s="104">
        <f t="shared" si="198"/>
        <v>12.27460470879274</v>
      </c>
      <c r="S213" s="104">
        <f t="shared" si="198"/>
        <v>12.182197902999215</v>
      </c>
      <c r="T213" s="104">
        <f t="shared" si="198"/>
        <v>12.56478205732788</v>
      </c>
      <c r="U213" s="104">
        <f t="shared" si="198"/>
        <v>12.591120487107021</v>
      </c>
      <c r="V213" s="104">
        <f t="shared" si="198"/>
        <v>12.993400864325906</v>
      </c>
      <c r="W213" s="104">
        <f t="shared" si="198"/>
        <v>12.86483386246862</v>
      </c>
      <c r="X213" s="104">
        <f t="shared" si="198"/>
        <v>13.320014844128883</v>
      </c>
      <c r="Y213" s="104">
        <f t="shared" si="198"/>
        <v>13.288422554599837</v>
      </c>
      <c r="Z213" s="104">
        <f t="shared" si="198"/>
        <v>13.033160181157287</v>
      </c>
      <c r="AA213" s="104">
        <f t="shared" si="198"/>
        <v>12.926910381418914</v>
      </c>
      <c r="AB213" s="104">
        <f t="shared" si="198"/>
        <v>13.505928180579637</v>
      </c>
      <c r="AC213" s="104">
        <f t="shared" si="198"/>
        <v>13.86674795799599</v>
      </c>
      <c r="AD213" s="104">
        <f t="shared" si="198"/>
        <v>14.271631482282736</v>
      </c>
      <c r="AE213" s="104">
        <f t="shared" si="198"/>
        <v>15.555872510231664</v>
      </c>
      <c r="AF213" s="104">
        <f t="shared" si="198"/>
        <v>16.348357369659123</v>
      </c>
      <c r="AG213" s="104">
        <f t="shared" si="198"/>
        <v>16.122094031454026</v>
      </c>
      <c r="AH213" s="104">
        <f t="shared" si="198"/>
        <v>14.676337415494803</v>
      </c>
      <c r="AI213" s="104">
        <f t="shared" si="198"/>
        <v>14.279861591528075</v>
      </c>
      <c r="AJ213" s="104">
        <f t="shared" si="198"/>
        <v>12.975984390562019</v>
      </c>
      <c r="AK213" s="104">
        <f t="shared" si="198"/>
        <v>12.025168023195953</v>
      </c>
      <c r="AL213" s="104">
        <f t="shared" si="198"/>
        <v>11.007762088410107</v>
      </c>
      <c r="AM213" s="104">
        <f t="shared" si="198"/>
        <v>9.9725319770071295</v>
      </c>
      <c r="AN213" s="104">
        <f t="shared" si="198"/>
        <v>9.2833618333619601</v>
      </c>
      <c r="AO213" s="104">
        <f t="shared" si="198"/>
        <v>8.6678520294580661</v>
      </c>
      <c r="AP213" s="104">
        <f t="shared" si="198"/>
        <v>8.3217952792190175</v>
      </c>
      <c r="AQ213" s="104">
        <f t="shared" si="198"/>
        <v>7.1454088127712678</v>
      </c>
      <c r="AR213" s="104">
        <f t="shared" si="198"/>
        <v>6.2277719434718355</v>
      </c>
      <c r="AS213" s="104">
        <f t="shared" si="198"/>
        <v>5.4111341417433172</v>
      </c>
      <c r="AT213" s="104">
        <f t="shared" si="198"/>
        <v>4.6701328956780852</v>
      </c>
      <c r="AU213" s="104">
        <f t="shared" si="198"/>
        <v>4.0794555643808144</v>
      </c>
      <c r="AV213" s="104">
        <f t="shared" si="198"/>
        <v>3.6756628085498897</v>
      </c>
      <c r="AW213" s="104">
        <f t="shared" si="198"/>
        <v>3.1782932202581367</v>
      </c>
      <c r="AX213" s="104">
        <f t="shared" si="198"/>
        <v>3.2009772438065602</v>
      </c>
      <c r="AY213" s="104">
        <f t="shared" si="198"/>
        <v>2.9972526374407051</v>
      </c>
      <c r="AZ213" s="104">
        <f t="shared" si="198"/>
        <v>2.8236716662833494</v>
      </c>
      <c r="BA213" s="104">
        <f t="shared" si="198"/>
        <v>2.4535521848429904</v>
      </c>
      <c r="BB213" s="104">
        <f t="shared" si="198"/>
        <v>2.201064815969398</v>
      </c>
      <c r="BC213" s="104">
        <f t="shared" si="198"/>
        <v>2.0398724705078761</v>
      </c>
      <c r="BD213" s="104">
        <f t="shared" si="198"/>
        <v>1.8521854950888763</v>
      </c>
      <c r="BE213" s="104">
        <f t="shared" si="198"/>
        <v>1.7703372731902738</v>
      </c>
      <c r="BF213" s="104">
        <f t="shared" si="198"/>
        <v>1.7098246624548381</v>
      </c>
      <c r="BG213" s="104">
        <f t="shared" si="198"/>
        <v>1.6073580392692466</v>
      </c>
      <c r="BH213" s="104">
        <f t="shared" si="198"/>
        <v>1.5060007559302386</v>
      </c>
      <c r="BI213" s="104">
        <f t="shared" si="198"/>
        <v>1.4481512523178697</v>
      </c>
      <c r="BJ213" s="104">
        <f t="shared" si="198"/>
        <v>1.3986743110248978</v>
      </c>
      <c r="BK213" s="104">
        <f t="shared" si="198"/>
        <v>0</v>
      </c>
    </row>
    <row r="214" spans="2:64" s="51" customFormat="1">
      <c r="E214" s="269">
        <v>1</v>
      </c>
      <c r="F214" s="269" t="s">
        <v>566</v>
      </c>
      <c r="H214" s="270">
        <v>41888</v>
      </c>
      <c r="I214" s="271" t="s">
        <v>233</v>
      </c>
      <c r="J214" s="104"/>
      <c r="K214" s="275">
        <v>1</v>
      </c>
      <c r="L214" s="275" t="s">
        <v>85</v>
      </c>
      <c r="M214" s="104"/>
      <c r="N214" s="104"/>
      <c r="O214" s="104"/>
      <c r="P214" s="104"/>
      <c r="Q214" s="104"/>
      <c r="R214" s="104"/>
      <c r="S214" s="104"/>
      <c r="T214" s="104"/>
      <c r="U214" s="104"/>
      <c r="V214" s="104"/>
      <c r="W214" s="104"/>
      <c r="X214" s="104"/>
      <c r="Y214" s="104"/>
      <c r="Z214" s="104"/>
      <c r="AA214" s="104"/>
      <c r="AB214" s="104"/>
      <c r="AC214" s="104"/>
      <c r="AD214" s="104"/>
      <c r="AE214" s="104"/>
      <c r="AF214" s="104"/>
      <c r="AG214" s="104"/>
      <c r="AH214" s="104"/>
      <c r="AI214" s="104"/>
      <c r="AJ214" s="104"/>
      <c r="AK214" s="104"/>
      <c r="AL214" s="104"/>
      <c r="AM214" s="104"/>
      <c r="AN214" s="104"/>
      <c r="AO214" s="104"/>
      <c r="AP214" s="104"/>
      <c r="AQ214" s="104"/>
      <c r="AR214" s="104"/>
      <c r="AS214" s="104"/>
      <c r="AT214" s="104"/>
      <c r="AU214" s="104"/>
      <c r="AV214" s="104"/>
      <c r="AW214" s="104"/>
      <c r="AX214" s="104"/>
      <c r="AY214" s="104"/>
      <c r="AZ214" s="104"/>
      <c r="BA214" s="104"/>
      <c r="BB214" s="104"/>
      <c r="BC214" s="109"/>
      <c r="BK214" s="65"/>
    </row>
    <row r="215" spans="2:64" s="51" customFormat="1">
      <c r="E215" s="269">
        <v>158.23699999999999</v>
      </c>
      <c r="F215" s="269" t="s">
        <v>233</v>
      </c>
      <c r="H215" s="270">
        <v>1</v>
      </c>
      <c r="I215" s="270" t="s">
        <v>234</v>
      </c>
      <c r="J215" s="104"/>
      <c r="K215" s="275">
        <v>282.5</v>
      </c>
      <c r="L215" s="275" t="s">
        <v>86</v>
      </c>
      <c r="M215" s="104"/>
      <c r="N215" s="104"/>
      <c r="O215" s="104"/>
      <c r="P215" s="104"/>
      <c r="Q215" s="104"/>
      <c r="R215" s="104"/>
      <c r="S215" s="104"/>
      <c r="T215" s="104"/>
      <c r="U215" s="104"/>
      <c r="V215" s="104"/>
      <c r="W215" s="104"/>
      <c r="X215" s="104"/>
      <c r="Y215" s="104"/>
      <c r="Z215" s="104"/>
      <c r="AA215" s="104"/>
      <c r="AB215" s="104"/>
      <c r="AC215" s="104"/>
      <c r="AD215" s="104"/>
      <c r="AE215" s="104"/>
      <c r="AF215" s="104"/>
      <c r="AG215" s="104"/>
      <c r="AH215" s="104"/>
      <c r="AI215" s="104"/>
      <c r="AJ215" s="104"/>
      <c r="AK215" s="104"/>
      <c r="AL215" s="104"/>
      <c r="AM215" s="104"/>
      <c r="AN215" s="104"/>
      <c r="AO215" s="104"/>
      <c r="AP215" s="104"/>
      <c r="AQ215" s="104"/>
      <c r="AR215" s="104"/>
      <c r="AS215" s="104"/>
      <c r="AT215" s="104"/>
      <c r="AU215" s="104"/>
      <c r="AV215" s="104"/>
      <c r="AW215" s="104"/>
      <c r="AX215" s="104"/>
      <c r="AY215" s="104"/>
      <c r="AZ215" s="104"/>
      <c r="BA215" s="104"/>
      <c r="BB215" s="104"/>
      <c r="BC215" s="109"/>
      <c r="BK215" s="65"/>
    </row>
    <row r="216" spans="2:64" s="51" customFormat="1">
      <c r="B216" s="51" t="s">
        <v>573</v>
      </c>
      <c r="H216" s="104"/>
      <c r="I216" s="104"/>
      <c r="K216" s="104"/>
      <c r="L216" s="104"/>
      <c r="M216" s="104"/>
      <c r="N216" s="104"/>
      <c r="O216" s="104"/>
      <c r="P216" s="104"/>
      <c r="Q216" s="104"/>
      <c r="R216" s="104"/>
      <c r="S216" s="104"/>
      <c r="T216" s="104"/>
      <c r="U216" s="104"/>
      <c r="V216" s="104"/>
      <c r="W216" s="104"/>
      <c r="X216" s="104"/>
      <c r="Y216" s="104"/>
      <c r="Z216" s="104"/>
      <c r="AA216" s="104"/>
      <c r="AB216" s="104"/>
      <c r="AC216" s="104"/>
      <c r="AD216" s="104"/>
      <c r="AE216" s="104"/>
      <c r="AF216" s="104"/>
      <c r="AG216" s="104"/>
      <c r="AH216" s="104"/>
      <c r="AI216" s="104"/>
      <c r="AJ216" s="104"/>
      <c r="AK216" s="104"/>
      <c r="AL216" s="104"/>
      <c r="AM216" s="104"/>
      <c r="AN216" s="104"/>
      <c r="AO216" s="104"/>
      <c r="AP216" s="104"/>
      <c r="AQ216" s="104"/>
      <c r="AR216" s="104"/>
      <c r="AS216" s="104"/>
      <c r="AT216" s="104"/>
      <c r="AU216" s="104"/>
      <c r="AV216" s="104"/>
      <c r="AW216" s="104"/>
      <c r="AX216" s="104"/>
      <c r="AY216" s="104"/>
      <c r="AZ216" s="104"/>
      <c r="BA216" s="104"/>
      <c r="BB216" s="104"/>
      <c r="BC216" s="109"/>
      <c r="BK216" s="65"/>
    </row>
    <row r="217" spans="2:64" s="51" customFormat="1">
      <c r="G217" s="202" t="s">
        <v>244</v>
      </c>
      <c r="H217" s="104">
        <f>H214/E215</f>
        <v>264.71684877746674</v>
      </c>
      <c r="I217" s="104" t="s">
        <v>567</v>
      </c>
      <c r="K217" s="104"/>
      <c r="L217" s="104"/>
      <c r="M217" s="104"/>
      <c r="N217" s="104"/>
      <c r="O217" s="104"/>
      <c r="P217" s="104"/>
      <c r="Q217" s="104"/>
      <c r="R217" s="104"/>
      <c r="S217" s="104"/>
      <c r="T217" s="104"/>
      <c r="U217" s="104"/>
      <c r="V217" s="104"/>
      <c r="W217" s="104"/>
      <c r="X217" s="104"/>
      <c r="Y217" s="104"/>
      <c r="Z217" s="104"/>
      <c r="AA217" s="104"/>
      <c r="AB217" s="104"/>
      <c r="AC217" s="104"/>
      <c r="AD217" s="104"/>
      <c r="AE217" s="104"/>
      <c r="AF217" s="104"/>
      <c r="AG217" s="104"/>
      <c r="AH217" s="104"/>
      <c r="AI217" s="104"/>
      <c r="AJ217" s="104"/>
      <c r="AK217" s="104"/>
      <c r="AL217" s="104"/>
      <c r="AM217" s="104"/>
      <c r="AN217" s="104"/>
      <c r="AO217" s="104"/>
      <c r="AP217" s="104"/>
      <c r="AQ217" s="104"/>
      <c r="AR217" s="104"/>
      <c r="AS217" s="104"/>
      <c r="AT217" s="104"/>
      <c r="AU217" s="104"/>
      <c r="AV217" s="104"/>
      <c r="AW217" s="104"/>
      <c r="AX217" s="104"/>
      <c r="AY217" s="104"/>
      <c r="AZ217" s="104"/>
      <c r="BA217" s="104"/>
      <c r="BB217" s="104"/>
      <c r="BC217" s="109"/>
      <c r="BK217" s="65"/>
    </row>
    <row r="218" spans="2:64" s="51" customFormat="1">
      <c r="D218" s="51">
        <v>1960</v>
      </c>
      <c r="E218" s="51">
        <v>1961</v>
      </c>
      <c r="F218" s="51">
        <v>1962</v>
      </c>
      <c r="G218" s="51">
        <v>1963</v>
      </c>
      <c r="H218" s="51">
        <v>1964</v>
      </c>
      <c r="I218" s="51">
        <v>1965</v>
      </c>
      <c r="J218" s="51">
        <v>1966</v>
      </c>
      <c r="K218" s="51">
        <v>1967</v>
      </c>
      <c r="L218" s="51">
        <v>1968</v>
      </c>
      <c r="M218" s="51">
        <v>1969</v>
      </c>
      <c r="N218" s="51">
        <v>1970</v>
      </c>
      <c r="O218" s="51">
        <v>1971</v>
      </c>
      <c r="P218" s="51">
        <v>1972</v>
      </c>
      <c r="Q218" s="51">
        <v>1973</v>
      </c>
      <c r="R218" s="51">
        <v>1974</v>
      </c>
      <c r="S218" s="51">
        <v>1975</v>
      </c>
      <c r="T218" s="51">
        <v>1976</v>
      </c>
      <c r="U218" s="51">
        <v>1977</v>
      </c>
      <c r="V218" s="51">
        <v>1978</v>
      </c>
      <c r="W218" s="51">
        <v>1979</v>
      </c>
      <c r="X218" s="51">
        <v>1980</v>
      </c>
      <c r="Y218" s="51">
        <v>1981</v>
      </c>
      <c r="Z218" s="51">
        <v>1982</v>
      </c>
      <c r="AA218" s="51">
        <v>1983</v>
      </c>
      <c r="AB218" s="51">
        <v>1984</v>
      </c>
      <c r="AC218" s="51">
        <v>1985</v>
      </c>
      <c r="AD218" s="51">
        <v>1986</v>
      </c>
      <c r="AE218" s="51">
        <v>1987</v>
      </c>
      <c r="AF218" s="51">
        <v>1988</v>
      </c>
      <c r="AG218" s="51">
        <v>1989</v>
      </c>
      <c r="AH218" s="51">
        <v>1990</v>
      </c>
      <c r="AI218" s="51">
        <v>1991</v>
      </c>
      <c r="AJ218" s="51">
        <v>1992</v>
      </c>
      <c r="AK218" s="51">
        <v>1993</v>
      </c>
      <c r="AL218" s="51">
        <v>1994</v>
      </c>
      <c r="AM218" s="51">
        <v>1995</v>
      </c>
      <c r="AN218" s="51">
        <v>1996</v>
      </c>
      <c r="AO218" s="51">
        <v>1997</v>
      </c>
      <c r="AP218" s="51">
        <v>1998</v>
      </c>
      <c r="AQ218" s="51">
        <v>1999</v>
      </c>
      <c r="AR218" s="51">
        <v>2000</v>
      </c>
      <c r="AS218" s="51">
        <v>2001</v>
      </c>
      <c r="AT218" s="51">
        <v>2002</v>
      </c>
      <c r="AU218" s="51">
        <v>2003</v>
      </c>
      <c r="AV218" s="51">
        <v>2004</v>
      </c>
      <c r="AW218" s="51">
        <v>2005</v>
      </c>
      <c r="AX218" s="51">
        <v>2006</v>
      </c>
      <c r="AY218" s="51">
        <v>2007</v>
      </c>
      <c r="AZ218" s="51">
        <v>2008</v>
      </c>
      <c r="BA218" s="51">
        <v>2009</v>
      </c>
      <c r="BB218" s="51">
        <v>2010</v>
      </c>
      <c r="BC218" s="51">
        <v>2011</v>
      </c>
      <c r="BD218" s="51">
        <v>2012</v>
      </c>
      <c r="BE218" s="51">
        <v>2013</v>
      </c>
      <c r="BF218" s="51">
        <v>2014</v>
      </c>
      <c r="BG218" s="51">
        <v>2015</v>
      </c>
      <c r="BH218" s="51">
        <v>2016</v>
      </c>
      <c r="BI218" s="51">
        <v>2017</v>
      </c>
      <c r="BJ218" s="51">
        <v>2018</v>
      </c>
      <c r="BK218" s="51">
        <v>2019</v>
      </c>
    </row>
    <row r="219" spans="2:64" s="51" customFormat="1">
      <c r="C219" s="272" t="s">
        <v>564</v>
      </c>
      <c r="D219" s="268">
        <f>D238</f>
        <v>1.1163522199652463</v>
      </c>
      <c r="E219" s="268">
        <f t="shared" ref="E219:BL219" si="199">E238</f>
        <v>1.1834552000175764</v>
      </c>
      <c r="F219" s="268">
        <f t="shared" si="199"/>
        <v>1.2358207370571883</v>
      </c>
      <c r="G219" s="268">
        <f t="shared" si="199"/>
        <v>1.2951755099812607</v>
      </c>
      <c r="H219" s="268">
        <f t="shared" si="199"/>
        <v>1.4230378400188737</v>
      </c>
      <c r="I219" s="268">
        <f t="shared" si="199"/>
        <v>1.5149554756573282</v>
      </c>
      <c r="J219" s="268">
        <f t="shared" si="199"/>
        <v>1.5852017559024616</v>
      </c>
      <c r="K219" s="268">
        <f t="shared" si="199"/>
        <v>1.6789524641024378</v>
      </c>
      <c r="L219" s="268">
        <f t="shared" si="199"/>
        <v>1.7657841489924047</v>
      </c>
      <c r="M219" s="268">
        <f t="shared" si="199"/>
        <v>1.8101396899691382</v>
      </c>
      <c r="N219" s="268">
        <f t="shared" si="199"/>
        <v>1.780961724292685</v>
      </c>
      <c r="O219" s="268">
        <f t="shared" si="199"/>
        <v>1.8242010619489322</v>
      </c>
      <c r="P219" s="268">
        <f t="shared" si="199"/>
        <v>1.8885089949913523</v>
      </c>
      <c r="Q219" s="268">
        <f t="shared" si="199"/>
        <v>1.9830445512041388</v>
      </c>
      <c r="R219" s="268">
        <f t="shared" si="199"/>
        <v>1.985082546133442</v>
      </c>
      <c r="S219" s="268">
        <f t="shared" si="199"/>
        <v>1.9081819466336563</v>
      </c>
      <c r="T219" s="268">
        <f t="shared" si="199"/>
        <v>1.9534619789908869</v>
      </c>
      <c r="U219" s="268">
        <f t="shared" si="199"/>
        <v>1.977974297989503</v>
      </c>
      <c r="V219" s="268">
        <f t="shared" si="199"/>
        <v>2.0465851207057479</v>
      </c>
      <c r="W219" s="268">
        <f t="shared" si="199"/>
        <v>2.0630160348237321</v>
      </c>
      <c r="X219" s="268">
        <f t="shared" si="199"/>
        <v>2.0440046979915882</v>
      </c>
      <c r="Y219" s="268">
        <f t="shared" si="199"/>
        <v>1.9594057362775841</v>
      </c>
      <c r="Z219" s="268">
        <f t="shared" si="199"/>
        <v>1.9320783264343531</v>
      </c>
      <c r="AA219" s="268">
        <f t="shared" si="199"/>
        <v>1.9349485614491739</v>
      </c>
      <c r="AB219" s="268">
        <f t="shared" si="199"/>
        <v>2.0160522361725111</v>
      </c>
      <c r="AC219" s="268">
        <f t="shared" si="199"/>
        <v>2.0365883590803131</v>
      </c>
      <c r="AD219" s="268">
        <f t="shared" si="199"/>
        <v>2.1473843462467261</v>
      </c>
      <c r="AE219" s="268">
        <f t="shared" si="199"/>
        <v>2.2636382743357073</v>
      </c>
      <c r="AF219" s="268">
        <f t="shared" si="199"/>
        <v>2.3580000676929203</v>
      </c>
      <c r="AG219" s="268">
        <f t="shared" si="199"/>
        <v>2.5976095761350462</v>
      </c>
      <c r="AH219" s="268">
        <f t="shared" si="199"/>
        <v>2.2817871568015358</v>
      </c>
      <c r="AI219" s="268">
        <f t="shared" si="199"/>
        <v>2.2106939081469763</v>
      </c>
      <c r="AJ219" s="268">
        <f t="shared" si="199"/>
        <v>2.0687710142394171</v>
      </c>
      <c r="AK219" s="268">
        <f t="shared" si="199"/>
        <v>1.9464334313285445</v>
      </c>
      <c r="AL219" s="268">
        <f t="shared" si="199"/>
        <v>1.7965594871554418</v>
      </c>
      <c r="AM219" s="268">
        <f t="shared" si="199"/>
        <v>1.5920668886936751</v>
      </c>
      <c r="AN219" s="268">
        <f t="shared" si="199"/>
        <v>1.5092219612428965</v>
      </c>
      <c r="AO219" s="268">
        <f t="shared" si="199"/>
        <v>1.403299863847058</v>
      </c>
      <c r="AP219" s="268">
        <f t="shared" si="199"/>
        <v>1.3147654428385898</v>
      </c>
      <c r="AQ219" s="268">
        <f t="shared" si="199"/>
        <v>1.114096057226313</v>
      </c>
      <c r="AR219" s="268">
        <f t="shared" si="199"/>
        <v>0.96534260957580398</v>
      </c>
      <c r="AS219" s="268">
        <f t="shared" si="199"/>
        <v>0.82288242299427528</v>
      </c>
      <c r="AT219" s="268">
        <f t="shared" si="199"/>
        <v>0.70601157411366944</v>
      </c>
      <c r="AU219" s="268">
        <f t="shared" si="199"/>
        <v>0.60655717727971337</v>
      </c>
      <c r="AV219" s="268">
        <f t="shared" si="199"/>
        <v>0.53849676511394706</v>
      </c>
      <c r="AW219" s="268">
        <f t="shared" si="199"/>
        <v>0.46714339721243969</v>
      </c>
      <c r="AX219" s="268">
        <f t="shared" si="199"/>
        <v>0.46492067377135632</v>
      </c>
      <c r="AY219" s="268">
        <f t="shared" si="199"/>
        <v>0.43016987508957383</v>
      </c>
      <c r="AZ219" s="268">
        <f t="shared" si="199"/>
        <v>0.38759462814285889</v>
      </c>
      <c r="BA219" s="268">
        <f t="shared" si="199"/>
        <v>0.33975898197540166</v>
      </c>
      <c r="BB219" s="268">
        <f t="shared" si="199"/>
        <v>0.30628338326706184</v>
      </c>
      <c r="BC219" s="268">
        <f t="shared" si="199"/>
        <v>0.28166709047877869</v>
      </c>
      <c r="BD219" s="268">
        <f t="shared" si="199"/>
        <v>0.25756372133691235</v>
      </c>
      <c r="BE219" s="268">
        <f t="shared" si="199"/>
        <v>0.24035722613926086</v>
      </c>
      <c r="BF219" s="268">
        <f t="shared" si="199"/>
        <v>0.22780305483362917</v>
      </c>
      <c r="BG219" s="268">
        <f t="shared" si="199"/>
        <v>0.21424534988870131</v>
      </c>
      <c r="BH219" s="268">
        <f t="shared" si="199"/>
        <v>0.20178988232439404</v>
      </c>
      <c r="BI219" s="268">
        <f t="shared" si="199"/>
        <v>0.19011448521269911</v>
      </c>
      <c r="BJ219" s="268">
        <f t="shared" si="199"/>
        <v>0.17955001740664683</v>
      </c>
      <c r="BK219" s="268">
        <f t="shared" si="199"/>
        <v>0.14150876420548286</v>
      </c>
      <c r="BL219" s="268">
        <f t="shared" si="199"/>
        <v>0</v>
      </c>
    </row>
    <row r="220" spans="2:64" s="51" customFormat="1">
      <c r="C220" s="202" t="s">
        <v>568</v>
      </c>
      <c r="D220" s="268">
        <f t="shared" ref="D220:AI220" si="200">D219*$H$188</f>
        <v>295.51724179492936</v>
      </c>
      <c r="E220" s="268">
        <f t="shared" si="200"/>
        <v>313.28053121795944</v>
      </c>
      <c r="F220" s="268">
        <f t="shared" si="200"/>
        <v>327.14257116762519</v>
      </c>
      <c r="G220" s="268">
        <f t="shared" si="200"/>
        <v>342.85477961598775</v>
      </c>
      <c r="H220" s="268">
        <f t="shared" si="200"/>
        <v>376.70209270088907</v>
      </c>
      <c r="I220" s="268">
        <f t="shared" si="200"/>
        <v>401.03423955417617</v>
      </c>
      <c r="J220" s="268">
        <f t="shared" si="200"/>
        <v>419.62961349900667</v>
      </c>
      <c r="K220" s="268">
        <f t="shared" si="200"/>
        <v>444.4470055443602</v>
      </c>
      <c r="L220" s="268">
        <f t="shared" si="200"/>
        <v>467.43281554247017</v>
      </c>
      <c r="M220" s="268">
        <f t="shared" si="200"/>
        <v>479.17447457565089</v>
      </c>
      <c r="N220" s="268">
        <f t="shared" si="200"/>
        <v>471.45057544804308</v>
      </c>
      <c r="O220" s="268">
        <f t="shared" si="200"/>
        <v>482.8967566556297</v>
      </c>
      <c r="P220" s="268">
        <f t="shared" si="200"/>
        <v>499.92015004201147</v>
      </c>
      <c r="Q220" s="268">
        <f t="shared" si="200"/>
        <v>524.94530458008535</v>
      </c>
      <c r="R220" s="268">
        <f t="shared" si="200"/>
        <v>525.48479617559497</v>
      </c>
      <c r="S220" s="268">
        <f t="shared" si="200"/>
        <v>505.12791180691369</v>
      </c>
      <c r="T220" s="268">
        <f t="shared" si="200"/>
        <v>517.11429928506152</v>
      </c>
      <c r="U220" s="268">
        <f t="shared" si="200"/>
        <v>523.60312312660324</v>
      </c>
      <c r="V220" s="268">
        <f t="shared" si="200"/>
        <v>541.76556390807696</v>
      </c>
      <c r="W220" s="268">
        <f t="shared" si="200"/>
        <v>546.11510371592294</v>
      </c>
      <c r="X220" s="268">
        <f t="shared" si="200"/>
        <v>541.08248253867089</v>
      </c>
      <c r="Y220" s="268">
        <f t="shared" si="200"/>
        <v>518.68771198389413</v>
      </c>
      <c r="Z220" s="268">
        <f t="shared" si="200"/>
        <v>511.45368616494363</v>
      </c>
      <c r="AA220" s="268">
        <f t="shared" si="200"/>
        <v>512.21348573331773</v>
      </c>
      <c r="AB220" s="268">
        <f t="shared" si="200"/>
        <v>533.68299493035227</v>
      </c>
      <c r="AC220" s="268">
        <f t="shared" si="200"/>
        <v>539.11925267261233</v>
      </c>
      <c r="AD220" s="268">
        <f t="shared" si="200"/>
        <v>568.44881725249388</v>
      </c>
      <c r="AE220" s="268">
        <f t="shared" si="200"/>
        <v>599.22319075421115</v>
      </c>
      <c r="AF220" s="268">
        <f t="shared" si="200"/>
        <v>624.20234733672305</v>
      </c>
      <c r="AG220" s="268">
        <f t="shared" si="200"/>
        <v>687.6310213486405</v>
      </c>
      <c r="AH220" s="268">
        <f t="shared" si="200"/>
        <v>604.02750572939794</v>
      </c>
      <c r="AI220" s="268">
        <f t="shared" si="200"/>
        <v>585.20792497621005</v>
      </c>
      <c r="AJ220" s="268">
        <f t="shared" ref="AJ220:BK220" si="201">AJ219*$H$188</f>
        <v>547.63854373162224</v>
      </c>
      <c r="AK220" s="268">
        <f t="shared" si="201"/>
        <v>515.25372429640402</v>
      </c>
      <c r="AL220" s="268">
        <f t="shared" si="201"/>
        <v>475.5795660810503</v>
      </c>
      <c r="AM220" s="268">
        <f t="shared" si="201"/>
        <v>421.44692981793554</v>
      </c>
      <c r="AN220" s="268">
        <f t="shared" si="201"/>
        <v>399.51648168596762</v>
      </c>
      <c r="AO220" s="268">
        <f t="shared" si="201"/>
        <v>371.47711784744132</v>
      </c>
      <c r="AP220" s="268">
        <f t="shared" si="201"/>
        <v>348.04056490974205</v>
      </c>
      <c r="AQ220" s="268">
        <f t="shared" si="201"/>
        <v>294.91999750434985</v>
      </c>
      <c r="AR220" s="268">
        <f t="shared" si="201"/>
        <v>255.54245359752321</v>
      </c>
      <c r="AS220" s="268">
        <f t="shared" si="201"/>
        <v>217.83084192941098</v>
      </c>
      <c r="AT220" s="268">
        <f t="shared" si="201"/>
        <v>186.89315909978947</v>
      </c>
      <c r="AU220" s="268">
        <f t="shared" si="201"/>
        <v>160.56590457284096</v>
      </c>
      <c r="AV220" s="268">
        <f t="shared" si="201"/>
        <v>142.54916673782375</v>
      </c>
      <c r="AW220" s="268">
        <f t="shared" si="201"/>
        <v>123.66072803727748</v>
      </c>
      <c r="AX220" s="268">
        <f t="shared" si="201"/>
        <v>123.07233569225008</v>
      </c>
      <c r="AY220" s="268">
        <f t="shared" si="201"/>
        <v>113.87321377270847</v>
      </c>
      <c r="AZ220" s="268">
        <f t="shared" si="201"/>
        <v>102.60282856505162</v>
      </c>
      <c r="BA220" s="268">
        <f t="shared" si="201"/>
        <v>89.939927052368446</v>
      </c>
      <c r="BB220" s="268">
        <f t="shared" si="201"/>
        <v>81.07837205135769</v>
      </c>
      <c r="BC220" s="268">
        <f t="shared" si="201"/>
        <v>74.562024595859896</v>
      </c>
      <c r="BD220" s="268">
        <f t="shared" si="201"/>
        <v>68.181456671705007</v>
      </c>
      <c r="BE220" s="268">
        <f t="shared" si="201"/>
        <v>63.626607484478093</v>
      </c>
      <c r="BF220" s="268">
        <f t="shared" si="201"/>
        <v>60.303306817438774</v>
      </c>
      <c r="BG220" s="268">
        <f t="shared" si="201"/>
        <v>56.714353887762798</v>
      </c>
      <c r="BH220" s="268">
        <f t="shared" si="201"/>
        <v>53.417181764089428</v>
      </c>
      <c r="BI220" s="268">
        <f t="shared" si="201"/>
        <v>50.326507432456005</v>
      </c>
      <c r="BJ220" s="268">
        <f t="shared" si="201"/>
        <v>47.529914805826849</v>
      </c>
      <c r="BK220" s="268">
        <f t="shared" si="201"/>
        <v>37.459754134869002</v>
      </c>
    </row>
    <row r="221" spans="2:64" s="203" customFormat="1">
      <c r="C221" s="273" t="s">
        <v>85</v>
      </c>
      <c r="D221" s="274">
        <f t="shared" ref="D221:M221" si="202">D213*1000/D220</f>
        <v>28.150257818952991</v>
      </c>
      <c r="E221" s="274">
        <f t="shared" si="202"/>
        <v>28.93893064211349</v>
      </c>
      <c r="F221" s="274">
        <f t="shared" si="202"/>
        <v>27.831429943879748</v>
      </c>
      <c r="G221" s="274">
        <f t="shared" si="202"/>
        <v>27.90742169497539</v>
      </c>
      <c r="H221" s="274">
        <f t="shared" si="202"/>
        <v>25.560964908271835</v>
      </c>
      <c r="I221" s="274">
        <f t="shared" si="202"/>
        <v>25.710064734864233</v>
      </c>
      <c r="J221" s="274">
        <f t="shared" si="202"/>
        <v>24.491611415520794</v>
      </c>
      <c r="K221" s="274">
        <f t="shared" si="202"/>
        <v>22.668026004486659</v>
      </c>
      <c r="L221" s="274">
        <f t="shared" si="202"/>
        <v>21.637263600971661</v>
      </c>
      <c r="M221" s="274">
        <f t="shared" si="202"/>
        <v>21.528398000702875</v>
      </c>
      <c r="N221" s="274">
        <f>N213*1000/N220</f>
        <v>22.950513492498704</v>
      </c>
      <c r="O221" s="274">
        <f>O213*1000/O220</f>
        <v>23.293852327271697</v>
      </c>
      <c r="P221" s="274">
        <f t="shared" ref="P221:BK221" si="203">P213*1000/P220</f>
        <v>23.378833962948651</v>
      </c>
      <c r="Q221" s="274">
        <f t="shared" si="203"/>
        <v>23.191928993404836</v>
      </c>
      <c r="R221" s="274">
        <f t="shared" si="203"/>
        <v>23.358629589524948</v>
      </c>
      <c r="S221" s="274">
        <f t="shared" si="203"/>
        <v>24.11705553831262</v>
      </c>
      <c r="T221" s="274">
        <f t="shared" si="203"/>
        <v>24.297881676641644</v>
      </c>
      <c r="U221" s="274">
        <f t="shared" si="203"/>
        <v>24.047069108223379</v>
      </c>
      <c r="V221" s="274">
        <f t="shared" si="203"/>
        <v>23.983438095616091</v>
      </c>
      <c r="W221" s="274">
        <f t="shared" si="203"/>
        <v>23.557000666952113</v>
      </c>
      <c r="X221" s="274">
        <f t="shared" si="203"/>
        <v>24.617346290039812</v>
      </c>
      <c r="Y221" s="274">
        <f t="shared" si="203"/>
        <v>25.619312444811605</v>
      </c>
      <c r="Z221" s="274">
        <f t="shared" si="203"/>
        <v>25.482581382655432</v>
      </c>
      <c r="AA221" s="274">
        <f t="shared" si="203"/>
        <v>25.237348764669711</v>
      </c>
      <c r="AB221" s="274">
        <f t="shared" si="203"/>
        <v>25.307023661756762</v>
      </c>
      <c r="AC221" s="274">
        <f t="shared" si="203"/>
        <v>25.72111437173394</v>
      </c>
      <c r="AD221" s="274">
        <f t="shared" si="203"/>
        <v>25.106273509833965</v>
      </c>
      <c r="AE221" s="274">
        <f t="shared" si="203"/>
        <v>25.960064213556713</v>
      </c>
      <c r="AF221" s="274">
        <f t="shared" si="203"/>
        <v>26.190797646648512</v>
      </c>
      <c r="AG221" s="274">
        <f t="shared" si="203"/>
        <v>23.445850362937382</v>
      </c>
      <c r="AH221" s="274">
        <f t="shared" si="203"/>
        <v>24.297465390706474</v>
      </c>
      <c r="AI221" s="274">
        <f t="shared" si="203"/>
        <v>24.401346909491327</v>
      </c>
      <c r="AJ221" s="274">
        <f t="shared" si="203"/>
        <v>23.694432284008624</v>
      </c>
      <c r="AK221" s="274">
        <f t="shared" si="203"/>
        <v>23.338342754565659</v>
      </c>
      <c r="AL221" s="274">
        <f t="shared" si="203"/>
        <v>23.145994642112353</v>
      </c>
      <c r="AM221" s="274">
        <f t="shared" si="203"/>
        <v>23.662604402683034</v>
      </c>
      <c r="AN221" s="274">
        <f t="shared" si="203"/>
        <v>23.236492757910725</v>
      </c>
      <c r="AO221" s="274">
        <f t="shared" si="203"/>
        <v>23.333474965254229</v>
      </c>
      <c r="AP221" s="274">
        <f t="shared" si="203"/>
        <v>23.910417687596624</v>
      </c>
      <c r="AQ221" s="274">
        <f t="shared" si="203"/>
        <v>24.22829537921001</v>
      </c>
      <c r="AR221" s="274">
        <f t="shared" si="203"/>
        <v>24.370791842206046</v>
      </c>
      <c r="AS221" s="274">
        <f t="shared" si="203"/>
        <v>24.840991724655861</v>
      </c>
      <c r="AT221" s="274">
        <f t="shared" si="203"/>
        <v>24.988249533438093</v>
      </c>
      <c r="AU221" s="274">
        <f t="shared" si="203"/>
        <v>25.406736101500073</v>
      </c>
      <c r="AV221" s="274">
        <f t="shared" si="203"/>
        <v>25.785228301686001</v>
      </c>
      <c r="AW221" s="274">
        <f t="shared" si="203"/>
        <v>25.701718489802527</v>
      </c>
      <c r="AX221" s="274">
        <f t="shared" si="203"/>
        <v>26.008909523020673</v>
      </c>
      <c r="AY221" s="274">
        <f t="shared" si="203"/>
        <v>26.320962921299799</v>
      </c>
      <c r="AZ221" s="274">
        <f t="shared" si="203"/>
        <v>27.520407631775008</v>
      </c>
      <c r="BA221" s="274">
        <f t="shared" si="203"/>
        <v>27.279899653625296</v>
      </c>
      <c r="BB221" s="274">
        <f t="shared" si="203"/>
        <v>27.147373094456945</v>
      </c>
      <c r="BC221" s="274">
        <f t="shared" si="203"/>
        <v>27.358061715254731</v>
      </c>
      <c r="BD221" s="274">
        <f t="shared" si="203"/>
        <v>27.165531296979825</v>
      </c>
      <c r="BE221" s="274">
        <f t="shared" si="203"/>
        <v>27.823851422883941</v>
      </c>
      <c r="BF221" s="274">
        <f t="shared" si="203"/>
        <v>28.353746298376848</v>
      </c>
      <c r="BG221" s="278">
        <f t="shared" si="203"/>
        <v>28.341291561748086</v>
      </c>
      <c r="BH221" s="278">
        <f t="shared" si="203"/>
        <v>28.193190022291148</v>
      </c>
      <c r="BI221" s="278">
        <f t="shared" si="203"/>
        <v>28.775119240321935</v>
      </c>
      <c r="BJ221" s="278">
        <f t="shared" si="203"/>
        <v>29.427242121911604</v>
      </c>
      <c r="BK221" s="274">
        <f t="shared" si="203"/>
        <v>0</v>
      </c>
    </row>
    <row r="222" spans="2:64" s="203" customFormat="1">
      <c r="C222" s="273" t="s">
        <v>86</v>
      </c>
      <c r="D222" s="274">
        <f t="shared" ref="D222:AI222" si="204">$K$186/D221</f>
        <v>10.035432066622088</v>
      </c>
      <c r="E222" s="274">
        <f t="shared" si="204"/>
        <v>9.7619363857519588</v>
      </c>
      <c r="F222" s="274">
        <f t="shared" si="204"/>
        <v>10.150394736082289</v>
      </c>
      <c r="G222" s="274">
        <f t="shared" si="204"/>
        <v>10.122755268748559</v>
      </c>
      <c r="H222" s="274">
        <f t="shared" si="204"/>
        <v>11.05200844388232</v>
      </c>
      <c r="I222" s="274">
        <f t="shared" si="204"/>
        <v>10.987914768527004</v>
      </c>
      <c r="J222" s="274">
        <f t="shared" si="204"/>
        <v>11.534561577315181</v>
      </c>
      <c r="K222" s="274">
        <f t="shared" si="204"/>
        <v>12.462487908920039</v>
      </c>
      <c r="L222" s="274">
        <f t="shared" si="204"/>
        <v>13.056179617246693</v>
      </c>
      <c r="M222" s="274">
        <f t="shared" si="204"/>
        <v>13.122202589843273</v>
      </c>
      <c r="N222" s="274">
        <f t="shared" si="204"/>
        <v>12.309092783145534</v>
      </c>
      <c r="O222" s="274">
        <f t="shared" si="204"/>
        <v>12.127663386500396</v>
      </c>
      <c r="P222" s="274">
        <f t="shared" si="204"/>
        <v>12.08357955096105</v>
      </c>
      <c r="Q222" s="274">
        <f t="shared" si="204"/>
        <v>12.180961750975326</v>
      </c>
      <c r="R222" s="274">
        <f t="shared" si="204"/>
        <v>12.094031412128972</v>
      </c>
      <c r="S222" s="274">
        <f t="shared" si="204"/>
        <v>11.713701929790616</v>
      </c>
      <c r="T222" s="274">
        <f t="shared" si="204"/>
        <v>11.626527931921595</v>
      </c>
      <c r="U222" s="274">
        <f t="shared" si="204"/>
        <v>11.747793410024901</v>
      </c>
      <c r="V222" s="274">
        <f t="shared" si="204"/>
        <v>11.778961751594652</v>
      </c>
      <c r="W222" s="274">
        <f t="shared" si="204"/>
        <v>11.992188818685925</v>
      </c>
      <c r="X222" s="274">
        <f t="shared" si="204"/>
        <v>11.475647970809089</v>
      </c>
      <c r="Y222" s="274">
        <f t="shared" si="204"/>
        <v>11.02683768772302</v>
      </c>
      <c r="Z222" s="274">
        <f t="shared" si="204"/>
        <v>11.086004033809617</v>
      </c>
      <c r="AA222" s="274">
        <f t="shared" si="204"/>
        <v>11.193727306074148</v>
      </c>
      <c r="AB222" s="274">
        <f t="shared" si="204"/>
        <v>11.162908913184674</v>
      </c>
      <c r="AC222" s="274">
        <f t="shared" si="204"/>
        <v>10.983194426072442</v>
      </c>
      <c r="AD222" s="274">
        <f t="shared" si="204"/>
        <v>11.252167705786626</v>
      </c>
      <c r="AE222" s="274">
        <f t="shared" si="204"/>
        <v>10.882099430727699</v>
      </c>
      <c r="AF222" s="274">
        <f t="shared" si="204"/>
        <v>10.786231248522128</v>
      </c>
      <c r="AG222" s="274">
        <f t="shared" si="204"/>
        <v>12.049040475263332</v>
      </c>
      <c r="AH222" s="274">
        <f t="shared" si="204"/>
        <v>11.626727128009545</v>
      </c>
      <c r="AI222" s="274">
        <f t="shared" si="204"/>
        <v>11.57722977538247</v>
      </c>
      <c r="AJ222" s="274">
        <f t="shared" ref="AJ222:BK222" si="205">$K$186/AJ221</f>
        <v>11.922632144711029</v>
      </c>
      <c r="AK222" s="274">
        <f t="shared" si="205"/>
        <v>12.104544138839284</v>
      </c>
      <c r="AL222" s="274">
        <f t="shared" si="205"/>
        <v>12.205135461580598</v>
      </c>
      <c r="AM222" s="274">
        <f t="shared" si="205"/>
        <v>11.938668930625749</v>
      </c>
      <c r="AN222" s="274">
        <f t="shared" si="205"/>
        <v>12.157600673355688</v>
      </c>
      <c r="AO222" s="274">
        <f t="shared" si="205"/>
        <v>12.107069367964671</v>
      </c>
      <c r="AP222" s="274">
        <f t="shared" si="205"/>
        <v>11.814933711783089</v>
      </c>
      <c r="AQ222" s="274">
        <f t="shared" si="205"/>
        <v>11.659920583699407</v>
      </c>
      <c r="AR222" s="274">
        <f t="shared" si="205"/>
        <v>11.591744816053055</v>
      </c>
      <c r="AS222" s="274">
        <f t="shared" si="205"/>
        <v>11.372331794612103</v>
      </c>
      <c r="AT222" s="274">
        <f t="shared" si="205"/>
        <v>11.305313708428111</v>
      </c>
      <c r="AU222" s="274">
        <f t="shared" si="205"/>
        <v>11.119098449773741</v>
      </c>
      <c r="AV222" s="274">
        <f t="shared" si="205"/>
        <v>10.955885156212807</v>
      </c>
      <c r="AW222" s="274">
        <f t="shared" si="205"/>
        <v>10.991482927963956</v>
      </c>
      <c r="AX222" s="274">
        <f t="shared" si="205"/>
        <v>10.861662606421742</v>
      </c>
      <c r="AY222" s="274">
        <f t="shared" si="205"/>
        <v>10.732890010319174</v>
      </c>
      <c r="AZ222" s="274">
        <f t="shared" si="205"/>
        <v>10.265109579039304</v>
      </c>
      <c r="BA222" s="274">
        <f t="shared" si="205"/>
        <v>10.355609939439709</v>
      </c>
      <c r="BB222" s="274">
        <f t="shared" si="205"/>
        <v>10.406163388887226</v>
      </c>
      <c r="BC222" s="274">
        <f t="shared" si="205"/>
        <v>10.326023931822601</v>
      </c>
      <c r="BD222" s="274">
        <f t="shared" si="205"/>
        <v>10.399207617610903</v>
      </c>
      <c r="BE222" s="274">
        <f t="shared" si="205"/>
        <v>10.153159449653174</v>
      </c>
      <c r="BF222" s="274">
        <f t="shared" si="205"/>
        <v>9.9634100209245418</v>
      </c>
      <c r="BG222" s="274">
        <f t="shared" si="205"/>
        <v>9.9677884963184589</v>
      </c>
      <c r="BH222" s="274">
        <f t="shared" si="205"/>
        <v>10.020150248220913</v>
      </c>
      <c r="BI222" s="274">
        <f t="shared" si="205"/>
        <v>9.817509273919498</v>
      </c>
      <c r="BJ222" s="274">
        <f t="shared" si="205"/>
        <v>9.5999481986675779</v>
      </c>
      <c r="BK222" s="274" t="e">
        <f t="shared" si="205"/>
        <v>#DIV/0!</v>
      </c>
    </row>
    <row r="223" spans="2:64" s="51" customFormat="1">
      <c r="H223" s="104"/>
      <c r="I223" s="104"/>
      <c r="J223" s="104"/>
      <c r="K223" s="104"/>
      <c r="L223" s="104"/>
      <c r="M223" s="104"/>
      <c r="O223" s="104"/>
      <c r="P223" s="104"/>
      <c r="Q223" s="104"/>
      <c r="R223" s="104"/>
      <c r="S223" s="104"/>
      <c r="T223" s="104"/>
      <c r="U223" s="104"/>
      <c r="V223" s="104"/>
      <c r="W223" s="104"/>
      <c r="X223" s="104"/>
      <c r="Y223" s="104"/>
      <c r="Z223" s="104"/>
      <c r="AA223" s="104"/>
      <c r="AB223" s="104"/>
      <c r="AC223" s="104"/>
      <c r="AD223" s="104"/>
      <c r="AE223" s="104"/>
      <c r="AF223" s="104"/>
      <c r="AG223" s="104"/>
      <c r="AH223" s="104"/>
      <c r="AI223" s="104"/>
      <c r="AJ223" s="104"/>
      <c r="AK223" s="104"/>
      <c r="AL223" s="104"/>
      <c r="AM223" s="104"/>
      <c r="AN223" s="104"/>
      <c r="AO223" s="104"/>
      <c r="AP223" s="104"/>
      <c r="AQ223" s="104"/>
      <c r="AR223" s="104"/>
      <c r="AS223" s="104"/>
      <c r="AT223" s="104"/>
      <c r="AU223" s="104"/>
      <c r="AV223" s="104"/>
      <c r="AW223" s="104"/>
      <c r="AX223" s="104"/>
      <c r="AY223" s="104"/>
      <c r="AZ223" s="104"/>
      <c r="BA223" s="104"/>
      <c r="BB223" s="104"/>
      <c r="BC223" s="109"/>
      <c r="BK223" s="65"/>
    </row>
    <row r="224" spans="2:64" s="51" customFormat="1">
      <c r="B224" s="51" t="s">
        <v>322</v>
      </c>
      <c r="C224" s="103"/>
      <c r="D224" s="104"/>
      <c r="E224" s="104"/>
      <c r="F224" s="104"/>
      <c r="G224" s="104"/>
      <c r="H224" s="104"/>
      <c r="I224" s="104"/>
      <c r="J224" s="104"/>
      <c r="K224" s="104"/>
      <c r="L224" s="104"/>
      <c r="M224" s="104"/>
      <c r="N224" s="104"/>
      <c r="O224" s="104"/>
      <c r="P224" s="104"/>
      <c r="Q224" s="104"/>
      <c r="R224" s="104"/>
      <c r="S224" s="104"/>
      <c r="T224" s="104"/>
      <c r="U224" s="104"/>
      <c r="V224" s="104"/>
      <c r="W224" s="104"/>
      <c r="X224" s="104"/>
      <c r="Y224" s="104"/>
      <c r="Z224" s="104"/>
      <c r="AA224" s="104"/>
      <c r="AB224" s="104"/>
      <c r="AC224" s="104"/>
      <c r="AD224" s="104"/>
      <c r="AE224" s="104"/>
      <c r="AF224" s="104"/>
      <c r="AG224" s="104"/>
      <c r="AH224" s="104"/>
      <c r="AI224" s="104"/>
      <c r="AJ224" s="104"/>
      <c r="AK224" s="104"/>
      <c r="AL224" s="104"/>
      <c r="AM224" s="104"/>
      <c r="AN224" s="104"/>
      <c r="AO224" s="104"/>
      <c r="AP224" s="104"/>
      <c r="AQ224" s="104"/>
      <c r="AR224" s="104"/>
      <c r="AS224" s="104"/>
      <c r="AT224" s="104"/>
      <c r="AU224" s="104"/>
      <c r="AV224" s="104"/>
      <c r="AW224" s="104"/>
      <c r="AX224" s="104"/>
      <c r="AY224" s="104"/>
      <c r="AZ224" s="104"/>
      <c r="BA224" s="104"/>
      <c r="BB224" s="104"/>
      <c r="BC224" s="109"/>
      <c r="BK224" s="65"/>
    </row>
    <row r="225" spans="1:63">
      <c r="C225" s="201" t="s">
        <v>323</v>
      </c>
      <c r="D225" s="51">
        <v>1960</v>
      </c>
      <c r="E225" s="51">
        <v>1961</v>
      </c>
      <c r="F225" s="51">
        <v>1962</v>
      </c>
      <c r="G225" s="51">
        <v>1963</v>
      </c>
      <c r="H225" s="51">
        <v>1964</v>
      </c>
      <c r="I225" s="51">
        <v>1965</v>
      </c>
      <c r="J225" s="51">
        <v>1966</v>
      </c>
      <c r="K225" s="51">
        <v>1967</v>
      </c>
      <c r="L225" s="51">
        <v>1968</v>
      </c>
      <c r="M225" s="51">
        <v>1969</v>
      </c>
      <c r="N225" s="51">
        <v>1970</v>
      </c>
      <c r="O225" s="51">
        <v>1971</v>
      </c>
      <c r="P225" s="51">
        <v>1972</v>
      </c>
      <c r="Q225" s="51">
        <v>1973</v>
      </c>
      <c r="R225" s="51">
        <v>1974</v>
      </c>
      <c r="S225" s="51">
        <v>1975</v>
      </c>
      <c r="T225" s="51">
        <v>1976</v>
      </c>
      <c r="U225" s="51">
        <v>1977</v>
      </c>
      <c r="V225" s="51">
        <v>1978</v>
      </c>
      <c r="W225" s="51">
        <v>1979</v>
      </c>
      <c r="X225" s="51">
        <v>1980</v>
      </c>
      <c r="Y225" s="51">
        <v>1981</v>
      </c>
      <c r="Z225" s="51">
        <v>1982</v>
      </c>
      <c r="AA225" s="51">
        <v>1983</v>
      </c>
      <c r="AB225" s="51">
        <v>1984</v>
      </c>
      <c r="AC225" s="51">
        <v>1985</v>
      </c>
      <c r="AD225" s="51">
        <v>1986</v>
      </c>
      <c r="AE225" s="51">
        <v>1987</v>
      </c>
      <c r="AF225" s="51">
        <v>1988</v>
      </c>
      <c r="AG225" s="51">
        <v>1989</v>
      </c>
      <c r="AH225" s="51">
        <v>1990</v>
      </c>
      <c r="AI225" s="51">
        <v>1991</v>
      </c>
      <c r="AJ225" s="51">
        <v>1992</v>
      </c>
      <c r="AK225" s="51">
        <v>1993</v>
      </c>
      <c r="AL225" s="51">
        <v>1994</v>
      </c>
      <c r="AM225" s="51">
        <v>1995</v>
      </c>
      <c r="AN225" s="51">
        <v>1996</v>
      </c>
      <c r="AO225" s="51">
        <v>1997</v>
      </c>
      <c r="AP225" s="51">
        <v>1998</v>
      </c>
      <c r="AQ225" s="51">
        <v>1999</v>
      </c>
      <c r="AR225" s="51">
        <v>2000</v>
      </c>
      <c r="AS225" s="51">
        <v>2001</v>
      </c>
      <c r="AT225" s="51">
        <v>2002</v>
      </c>
      <c r="AU225" s="51">
        <v>2003</v>
      </c>
      <c r="AV225" s="51">
        <v>2004</v>
      </c>
      <c r="AW225" s="51">
        <v>2005</v>
      </c>
      <c r="AX225" s="51">
        <v>2006</v>
      </c>
      <c r="AY225" s="51">
        <v>2007</v>
      </c>
      <c r="AZ225" s="51">
        <v>2008</v>
      </c>
      <c r="BA225" s="51">
        <v>2009</v>
      </c>
      <c r="BB225" s="51">
        <v>2010</v>
      </c>
      <c r="BC225" s="51">
        <v>2011</v>
      </c>
      <c r="BD225" s="51">
        <v>2012</v>
      </c>
      <c r="BE225" s="51">
        <v>2013</v>
      </c>
      <c r="BF225" s="51">
        <v>2014</v>
      </c>
      <c r="BG225" s="51">
        <v>2015</v>
      </c>
      <c r="BH225" s="51">
        <v>2016</v>
      </c>
      <c r="BI225" s="51">
        <v>2017</v>
      </c>
      <c r="BJ225" s="51">
        <v>2018</v>
      </c>
      <c r="BK225" s="65">
        <v>2019</v>
      </c>
    </row>
    <row r="226" spans="1:63">
      <c r="A226" s="46" t="s">
        <v>263</v>
      </c>
      <c r="C226" s="38" t="s">
        <v>324</v>
      </c>
      <c r="D226" s="110">
        <f t="shared" ref="D226:M226" si="206">D234*D$281</f>
        <v>6.5438872147933882</v>
      </c>
      <c r="E226" s="110">
        <f t="shared" si="206"/>
        <v>7.0428250330699669</v>
      </c>
      <c r="F226" s="110">
        <f t="shared" si="206"/>
        <v>7.4871045981392932</v>
      </c>
      <c r="G226" s="110">
        <f t="shared" si="206"/>
        <v>7.9915690656675578</v>
      </c>
      <c r="H226" s="110">
        <f t="shared" si="206"/>
        <v>8.8949596685803982</v>
      </c>
      <c r="I226" s="110">
        <f t="shared" si="206"/>
        <v>9.6176263261250021</v>
      </c>
      <c r="J226" s="110">
        <f t="shared" si="206"/>
        <v>10.208908891458524</v>
      </c>
      <c r="K226" s="110">
        <f t="shared" si="206"/>
        <v>10.967285368515768</v>
      </c>
      <c r="L226" s="110">
        <f t="shared" si="206"/>
        <v>11.675838396461234</v>
      </c>
      <c r="M226" s="110">
        <f t="shared" si="206"/>
        <v>12.107618310894328</v>
      </c>
      <c r="N226" s="111">
        <v>12.025529773165252</v>
      </c>
      <c r="O226" s="111">
        <v>12.717726504840185</v>
      </c>
      <c r="P226" s="111">
        <v>13.597761745529283</v>
      </c>
      <c r="Q226" s="111">
        <v>14.505932063775447</v>
      </c>
      <c r="R226" s="111">
        <v>14.04698840057708</v>
      </c>
      <c r="S226" s="111">
        <v>13.740329745648701</v>
      </c>
      <c r="T226" s="111">
        <v>14.38434895445473</v>
      </c>
      <c r="U226" s="111">
        <v>14.817243547939031</v>
      </c>
      <c r="V226" s="111">
        <v>15.75615801689573</v>
      </c>
      <c r="W226" s="111">
        <v>16.05636240053478</v>
      </c>
      <c r="X226" s="111">
        <v>16.496450451990619</v>
      </c>
      <c r="Y226" s="111">
        <v>16.120415199838838</v>
      </c>
      <c r="Z226" s="111">
        <v>16.659250201399971</v>
      </c>
      <c r="AA226" s="111">
        <v>17.011657361351951</v>
      </c>
      <c r="AB226" s="111">
        <v>17.597446261517199</v>
      </c>
      <c r="AC226" s="111">
        <v>17.78804680644836</v>
      </c>
      <c r="AD226" s="111">
        <v>18.754249263625539</v>
      </c>
      <c r="AE226" s="111">
        <v>19.369814850502323</v>
      </c>
      <c r="AF226" s="111">
        <v>20.362527459701511</v>
      </c>
      <c r="AG226" s="111">
        <v>20.808700159033009</v>
      </c>
      <c r="AH226" s="111">
        <v>21.515020074175361</v>
      </c>
      <c r="AI226" s="111">
        <v>21.308590259112584</v>
      </c>
      <c r="AJ226" s="111">
        <v>21.504010496757502</v>
      </c>
      <c r="AK226" s="111">
        <v>21.372669288801454</v>
      </c>
      <c r="AL226" s="111">
        <v>20.592872589414142</v>
      </c>
      <c r="AM226" s="111">
        <v>19.904985890799242</v>
      </c>
      <c r="AN226" s="111">
        <v>20.434516695862943</v>
      </c>
      <c r="AO226" s="111">
        <v>20.367755840543445</v>
      </c>
      <c r="AP226" s="111">
        <v>20.045429136315505</v>
      </c>
      <c r="AQ226" s="111">
        <v>20.162463981616717</v>
      </c>
      <c r="AR226" s="111">
        <v>19.924240143247921</v>
      </c>
      <c r="AS226" s="111">
        <v>19.595718518089711</v>
      </c>
      <c r="AT226" s="111">
        <v>19.567260255764662</v>
      </c>
      <c r="AU226" s="111">
        <v>18.75297280468007</v>
      </c>
      <c r="AV226" s="111">
        <v>18.386576686108576</v>
      </c>
      <c r="AW226" s="111">
        <v>17.815769988989214</v>
      </c>
      <c r="AX226" s="111">
        <v>17.062957646129924</v>
      </c>
      <c r="AY226" s="111">
        <v>16.596698498754606</v>
      </c>
      <c r="AZ226" s="111">
        <v>15.59006082798421</v>
      </c>
      <c r="BA226" s="111">
        <v>14.730537789600652</v>
      </c>
      <c r="BB226" s="111">
        <v>13.756184731831965</v>
      </c>
      <c r="BC226" s="112">
        <v>13.071047285083079</v>
      </c>
      <c r="BD226" s="111">
        <v>12.451023554465582</v>
      </c>
      <c r="BE226" s="111">
        <v>11.816283224564971</v>
      </c>
      <c r="BF226" s="80">
        <v>11.555918823238915</v>
      </c>
      <c r="BG226" s="80">
        <v>11.305379674271336</v>
      </c>
      <c r="BH226" s="80">
        <v>11.165761309788699</v>
      </c>
      <c r="BI226" s="80">
        <v>11.001545551081506</v>
      </c>
      <c r="BJ226" s="113">
        <v>10.803436773393853</v>
      </c>
      <c r="BK226" s="114">
        <f t="array" ref="BK226">TREND(AZ226:BJ226,AZ225:BJ225,BK225)</f>
        <v>9.6926454434271818</v>
      </c>
    </row>
    <row r="227" spans="1:63">
      <c r="A227" s="46" t="s">
        <v>263</v>
      </c>
      <c r="C227" s="38" t="s">
        <v>325</v>
      </c>
      <c r="D227" s="110">
        <f t="shared" ref="D227:M227" si="207">D235*D$282</f>
        <v>4.6504537827170796E-2</v>
      </c>
      <c r="E227" s="110">
        <f t="shared" si="207"/>
        <v>5.2561432251562325E-2</v>
      </c>
      <c r="F227" s="110">
        <f t="shared" si="207"/>
        <v>5.7888633080363482E-2</v>
      </c>
      <c r="G227" s="110">
        <f t="shared" si="207"/>
        <v>6.463811351851706E-2</v>
      </c>
      <c r="H227" s="110">
        <f t="shared" si="207"/>
        <v>7.2985057271527848E-2</v>
      </c>
      <c r="I227" s="110">
        <f t="shared" si="207"/>
        <v>7.9160851408586225E-2</v>
      </c>
      <c r="J227" s="110">
        <f t="shared" si="207"/>
        <v>8.5303025510897856E-2</v>
      </c>
      <c r="K227" s="110">
        <f t="shared" si="207"/>
        <v>9.2691636839759631E-2</v>
      </c>
      <c r="L227" s="110">
        <f t="shared" si="207"/>
        <v>0.10135784345595458</v>
      </c>
      <c r="M227" s="110">
        <f t="shared" si="207"/>
        <v>0.10856341564077783</v>
      </c>
      <c r="N227" s="111">
        <v>0.10772665526079492</v>
      </c>
      <c r="O227" s="111">
        <v>0.11577242683168536</v>
      </c>
      <c r="P227" s="111">
        <v>0.12246679892276156</v>
      </c>
      <c r="Q227" s="111">
        <v>0.13427683282727998</v>
      </c>
      <c r="R227" s="111">
        <v>0.12964957754771769</v>
      </c>
      <c r="S227" s="111">
        <v>0.1299656263133111</v>
      </c>
      <c r="T227" s="111">
        <v>0.13412829635794429</v>
      </c>
      <c r="U227" s="111">
        <v>0.1415020782758252</v>
      </c>
      <c r="V227" s="111">
        <v>0.14593201313464541</v>
      </c>
      <c r="W227" s="111">
        <v>0.14756626995076999</v>
      </c>
      <c r="X227" s="111">
        <v>0.15209564573081019</v>
      </c>
      <c r="Y227" s="111">
        <v>0.15116657615101159</v>
      </c>
      <c r="Z227" s="111">
        <v>0.16411351964576498</v>
      </c>
      <c r="AA227" s="111">
        <v>0.17517207423515929</v>
      </c>
      <c r="AB227" s="111">
        <v>0.19308207426353868</v>
      </c>
      <c r="AC227" s="111">
        <v>0.20800272096211481</v>
      </c>
      <c r="AD227" s="111">
        <v>0.23800855842763041</v>
      </c>
      <c r="AE227" s="111">
        <v>0.3528958759662133</v>
      </c>
      <c r="AF227" s="111">
        <v>0.42305744948593099</v>
      </c>
      <c r="AG227" s="111">
        <v>0.59878268278387792</v>
      </c>
      <c r="AH227" s="111">
        <v>0.98542951659185851</v>
      </c>
      <c r="AI227" s="111">
        <v>1.1151288478849979</v>
      </c>
      <c r="AJ227" s="111">
        <v>1.4114713135387458</v>
      </c>
      <c r="AK227" s="111">
        <v>1.8065658479796309</v>
      </c>
      <c r="AL227" s="111">
        <v>2.3667444506789126</v>
      </c>
      <c r="AM227" s="111">
        <v>2.770348815088572</v>
      </c>
      <c r="AN227" s="111">
        <v>3.1866199946881819</v>
      </c>
      <c r="AO227" s="111">
        <v>3.4891218581983852</v>
      </c>
      <c r="AP227" s="111">
        <v>3.5985977808097482</v>
      </c>
      <c r="AQ227" s="111">
        <v>3.9389156424530123</v>
      </c>
      <c r="AR227" s="111">
        <v>4.11132756589239</v>
      </c>
      <c r="AS227" s="111">
        <v>4.4321421797921756</v>
      </c>
      <c r="AT227" s="111">
        <v>4.9647602408389693</v>
      </c>
      <c r="AU227" s="111">
        <v>5.4060076961966637</v>
      </c>
      <c r="AV227" s="111">
        <v>5.9252694002487694</v>
      </c>
      <c r="AW227" s="111">
        <v>6.5135227224455354</v>
      </c>
      <c r="AX227" s="111">
        <v>7.1225912832541134</v>
      </c>
      <c r="AY227" s="111">
        <v>7.6823845755008762</v>
      </c>
      <c r="AZ227" s="111">
        <v>8.0175520512103748</v>
      </c>
      <c r="BA227" s="111">
        <v>8.1757260865169652</v>
      </c>
      <c r="BB227" s="111">
        <v>8.4475219001165875</v>
      </c>
      <c r="BC227" s="112">
        <v>8.8951040779642341</v>
      </c>
      <c r="BD227" s="80">
        <v>9.4263813326849082</v>
      </c>
      <c r="BE227" s="80">
        <v>9.6891437436867189</v>
      </c>
      <c r="BF227" s="80">
        <v>10.024047314005823</v>
      </c>
      <c r="BG227" s="80">
        <v>10.439238305018035</v>
      </c>
      <c r="BH227" s="80">
        <v>10.878597168004854</v>
      </c>
      <c r="BI227" s="80">
        <v>11.010810686373279</v>
      </c>
      <c r="BJ227" s="80">
        <v>10.819622311914484</v>
      </c>
    </row>
    <row r="228" spans="1:63">
      <c r="A228" s="46" t="s">
        <v>263</v>
      </c>
      <c r="C228" s="38" t="s">
        <v>326</v>
      </c>
      <c r="D228" s="80">
        <f t="shared" ref="D228:M228" si="208">SUM(D226:D227)</f>
        <v>6.5903917526205591</v>
      </c>
      <c r="E228" s="80">
        <f t="shared" si="208"/>
        <v>7.0953864653215293</v>
      </c>
      <c r="F228" s="80">
        <f t="shared" si="208"/>
        <v>7.5449932312196566</v>
      </c>
      <c r="G228" s="80">
        <f t="shared" si="208"/>
        <v>8.0562071791860745</v>
      </c>
      <c r="H228" s="80">
        <f t="shared" si="208"/>
        <v>8.9679447258519254</v>
      </c>
      <c r="I228" s="80">
        <f t="shared" si="208"/>
        <v>9.6967871775335883</v>
      </c>
      <c r="J228" s="80">
        <f t="shared" si="208"/>
        <v>10.294211916969422</v>
      </c>
      <c r="K228" s="80">
        <f t="shared" si="208"/>
        <v>11.059977005355528</v>
      </c>
      <c r="L228" s="80">
        <f t="shared" si="208"/>
        <v>11.777196239917188</v>
      </c>
      <c r="M228" s="80">
        <f t="shared" si="208"/>
        <v>12.216181726535105</v>
      </c>
      <c r="N228" s="80">
        <f t="shared" ref="N228:BJ228" si="209">N226+N227</f>
        <v>12.133256428426046</v>
      </c>
      <c r="O228" s="80">
        <f t="shared" si="209"/>
        <v>12.833498931671871</v>
      </c>
      <c r="P228" s="80">
        <f t="shared" si="209"/>
        <v>13.720228544452045</v>
      </c>
      <c r="Q228" s="80">
        <f t="shared" si="209"/>
        <v>14.640208896602728</v>
      </c>
      <c r="R228" s="80">
        <f t="shared" si="209"/>
        <v>14.176637978124797</v>
      </c>
      <c r="S228" s="80">
        <f t="shared" si="209"/>
        <v>13.870295371962012</v>
      </c>
      <c r="T228" s="80">
        <f t="shared" si="209"/>
        <v>14.518477250812674</v>
      </c>
      <c r="U228" s="80">
        <f t="shared" si="209"/>
        <v>14.958745626214856</v>
      </c>
      <c r="V228" s="80">
        <f t="shared" si="209"/>
        <v>15.902090030030376</v>
      </c>
      <c r="W228" s="80">
        <f t="shared" si="209"/>
        <v>16.203928670485549</v>
      </c>
      <c r="X228" s="80">
        <f t="shared" si="209"/>
        <v>16.648546097721429</v>
      </c>
      <c r="Y228" s="80">
        <f t="shared" si="209"/>
        <v>16.271581775989851</v>
      </c>
      <c r="Z228" s="80">
        <f t="shared" si="209"/>
        <v>16.823363721045734</v>
      </c>
      <c r="AA228" s="80">
        <f t="shared" si="209"/>
        <v>17.186829435587111</v>
      </c>
      <c r="AB228" s="80">
        <f t="shared" si="209"/>
        <v>17.790528335780738</v>
      </c>
      <c r="AC228" s="80">
        <f t="shared" si="209"/>
        <v>17.996049527410474</v>
      </c>
      <c r="AD228" s="80">
        <f t="shared" si="209"/>
        <v>18.992257822053169</v>
      </c>
      <c r="AE228" s="80">
        <f t="shared" si="209"/>
        <v>19.722710726468534</v>
      </c>
      <c r="AF228" s="80">
        <f t="shared" si="209"/>
        <v>20.785584909187442</v>
      </c>
      <c r="AG228" s="80">
        <f t="shared" si="209"/>
        <v>21.407482841816886</v>
      </c>
      <c r="AH228" s="80">
        <f t="shared" si="209"/>
        <v>22.500449590767218</v>
      </c>
      <c r="AI228" s="80">
        <f t="shared" si="209"/>
        <v>22.423719106997581</v>
      </c>
      <c r="AJ228" s="80">
        <f t="shared" si="209"/>
        <v>22.915481810296249</v>
      </c>
      <c r="AK228" s="80">
        <f t="shared" si="209"/>
        <v>23.179235136781084</v>
      </c>
      <c r="AL228" s="80">
        <f t="shared" si="209"/>
        <v>22.959617040093054</v>
      </c>
      <c r="AM228" s="80">
        <f t="shared" si="209"/>
        <v>22.675334705887813</v>
      </c>
      <c r="AN228" s="80">
        <f t="shared" si="209"/>
        <v>23.621136690551126</v>
      </c>
      <c r="AO228" s="80">
        <f t="shared" si="209"/>
        <v>23.85687769874183</v>
      </c>
      <c r="AP228" s="80">
        <f t="shared" si="209"/>
        <v>23.644026917125252</v>
      </c>
      <c r="AQ228" s="80">
        <f t="shared" si="209"/>
        <v>24.101379624069729</v>
      </c>
      <c r="AR228" s="80">
        <f t="shared" si="209"/>
        <v>24.035567709140309</v>
      </c>
      <c r="AS228" s="80">
        <f t="shared" si="209"/>
        <v>24.027860697881888</v>
      </c>
      <c r="AT228" s="80">
        <f t="shared" si="209"/>
        <v>24.532020496603632</v>
      </c>
      <c r="AU228" s="80">
        <f t="shared" si="209"/>
        <v>24.158980500876734</v>
      </c>
      <c r="AV228" s="80">
        <f t="shared" si="209"/>
        <v>24.311846086357345</v>
      </c>
      <c r="AW228" s="80">
        <f t="shared" si="209"/>
        <v>24.32929271143475</v>
      </c>
      <c r="AX228" s="80">
        <f t="shared" si="209"/>
        <v>24.185548929384037</v>
      </c>
      <c r="AY228" s="80">
        <f t="shared" si="209"/>
        <v>24.279083074255482</v>
      </c>
      <c r="AZ228" s="80">
        <f t="shared" si="209"/>
        <v>23.607612879194583</v>
      </c>
      <c r="BA228" s="80">
        <f t="shared" si="209"/>
        <v>22.906263876117617</v>
      </c>
      <c r="BB228" s="80">
        <f t="shared" si="209"/>
        <v>22.203706631948553</v>
      </c>
      <c r="BC228" s="80">
        <f t="shared" si="209"/>
        <v>21.966151363047313</v>
      </c>
      <c r="BD228" s="80">
        <f t="shared" si="209"/>
        <v>21.87740488715049</v>
      </c>
      <c r="BE228" s="80">
        <f t="shared" si="209"/>
        <v>21.50542696825169</v>
      </c>
      <c r="BF228" s="80">
        <f t="shared" si="209"/>
        <v>21.579966137244739</v>
      </c>
      <c r="BG228" s="80">
        <f t="shared" si="209"/>
        <v>21.744617979289373</v>
      </c>
      <c r="BH228" s="80">
        <f t="shared" si="209"/>
        <v>22.044358477793551</v>
      </c>
      <c r="BI228" s="80">
        <f t="shared" si="209"/>
        <v>22.012356237454785</v>
      </c>
      <c r="BJ228" s="80">
        <f t="shared" si="209"/>
        <v>21.623059085308338</v>
      </c>
      <c r="BK228" s="65" t="s">
        <v>327</v>
      </c>
    </row>
    <row r="229" spans="1:63" s="51" customFormat="1">
      <c r="A229" s="38"/>
      <c r="C229" s="51" t="s">
        <v>328</v>
      </c>
      <c r="D229" s="115">
        <f t="shared" ref="D229:AI229" si="210">D128/D228</f>
        <v>10.327261649193586</v>
      </c>
      <c r="E229" s="115">
        <f t="shared" si="210"/>
        <v>10.839465950994509</v>
      </c>
      <c r="F229" s="115">
        <f t="shared" si="210"/>
        <v>11.089208092831514</v>
      </c>
      <c r="G229" s="115">
        <f t="shared" si="210"/>
        <v>11.344196836957876</v>
      </c>
      <c r="H229" s="115">
        <f t="shared" si="210"/>
        <v>11.787684160816211</v>
      </c>
      <c r="I229" s="115">
        <f t="shared" si="210"/>
        <v>11.947049871158082</v>
      </c>
      <c r="J229" s="115">
        <f t="shared" si="210"/>
        <v>12.285292067042615</v>
      </c>
      <c r="K229" s="115">
        <f t="shared" si="210"/>
        <v>12.205730620835096</v>
      </c>
      <c r="L229" s="115">
        <f t="shared" si="210"/>
        <v>12.118189855432309</v>
      </c>
      <c r="M229" s="115">
        <f t="shared" si="210"/>
        <v>12.104199438914192</v>
      </c>
      <c r="N229" s="115">
        <f t="shared" si="210"/>
        <v>12.770413360504575</v>
      </c>
      <c r="O229" s="115">
        <f t="shared" si="210"/>
        <v>12.863475571154616</v>
      </c>
      <c r="P229" s="115">
        <f t="shared" si="210"/>
        <v>12.735749950073343</v>
      </c>
      <c r="Q229" s="115">
        <f t="shared" si="210"/>
        <v>12.561890427852854</v>
      </c>
      <c r="R229" s="115">
        <f t="shared" si="210"/>
        <v>12.688918224304851</v>
      </c>
      <c r="S229" s="115">
        <f t="shared" si="210"/>
        <v>13.085171954368173</v>
      </c>
      <c r="T229" s="115">
        <f t="shared" si="210"/>
        <v>13.110514051282163</v>
      </c>
      <c r="U229" s="115">
        <f t="shared" si="210"/>
        <v>12.972036883890848</v>
      </c>
      <c r="V229" s="115">
        <f t="shared" si="210"/>
        <v>12.728653882461597</v>
      </c>
      <c r="W229" s="115">
        <f t="shared" si="210"/>
        <v>12.431972770092653</v>
      </c>
      <c r="X229" s="115">
        <f t="shared" si="210"/>
        <v>12.911782130297878</v>
      </c>
      <c r="Y229" s="115">
        <f t="shared" si="210"/>
        <v>13.48778520867859</v>
      </c>
      <c r="Z229" s="115">
        <f t="shared" si="210"/>
        <v>13.504481253994898</v>
      </c>
      <c r="AA229" s="115">
        <f t="shared" si="210"/>
        <v>13.45293504346118</v>
      </c>
      <c r="AB229" s="115">
        <f t="shared" si="210"/>
        <v>13.710913773674353</v>
      </c>
      <c r="AC229" s="115">
        <f t="shared" si="210"/>
        <v>13.920905230807538</v>
      </c>
      <c r="AD229" s="115">
        <f t="shared" si="210"/>
        <v>13.919287663262216</v>
      </c>
      <c r="AE229" s="115">
        <f t="shared" si="210"/>
        <v>14.423534571149501</v>
      </c>
      <c r="AF229" s="115">
        <f t="shared" si="210"/>
        <v>14.692307256892025</v>
      </c>
      <c r="AG229" s="115">
        <f t="shared" si="210"/>
        <v>15.475574706656293</v>
      </c>
      <c r="AH229" s="115">
        <f t="shared" si="210"/>
        <v>14.924070678916152</v>
      </c>
      <c r="AI229" s="115">
        <f t="shared" si="210"/>
        <v>14.946436779767327</v>
      </c>
      <c r="AJ229" s="115">
        <f t="shared" ref="AJ229:BJ229" si="211">AJ128/AJ228</f>
        <v>14.745053269976687</v>
      </c>
      <c r="AK229" s="115">
        <f t="shared" si="211"/>
        <v>14.584212895945685</v>
      </c>
      <c r="AL229" s="115">
        <f t="shared" si="211"/>
        <v>15.025058971915756</v>
      </c>
      <c r="AM229" s="115">
        <f t="shared" si="211"/>
        <v>15.483070241465436</v>
      </c>
      <c r="AN229" s="115">
        <f t="shared" si="211"/>
        <v>15.230952037287661</v>
      </c>
      <c r="AO229" s="115">
        <f t="shared" si="211"/>
        <v>15.329990144489351</v>
      </c>
      <c r="AP229" s="115">
        <f t="shared" si="211"/>
        <v>15.672148458417229</v>
      </c>
      <c r="AQ229" s="115">
        <f t="shared" si="211"/>
        <v>15.65514115313071</v>
      </c>
      <c r="AR229" s="115">
        <f t="shared" si="211"/>
        <v>15.64445261082828</v>
      </c>
      <c r="AS229" s="115">
        <f t="shared" si="211"/>
        <v>15.863755196216916</v>
      </c>
      <c r="AT229" s="115">
        <f t="shared" si="211"/>
        <v>15.918146654657487</v>
      </c>
      <c r="AU229" s="115">
        <f t="shared" si="211"/>
        <v>16.137299336197234</v>
      </c>
      <c r="AV229" s="115">
        <f t="shared" si="211"/>
        <v>16.214523512519648</v>
      </c>
      <c r="AW229" s="115">
        <f t="shared" si="211"/>
        <v>16.136761748749077</v>
      </c>
      <c r="AX229" s="115">
        <f t="shared" si="211"/>
        <v>16.425597829510071</v>
      </c>
      <c r="AY229" s="115">
        <f t="shared" si="211"/>
        <v>16.388827320333299</v>
      </c>
      <c r="AZ229" s="115">
        <f t="shared" si="211"/>
        <v>16.725477583037655</v>
      </c>
      <c r="BA229" s="115">
        <f t="shared" si="211"/>
        <v>17.19543624094316</v>
      </c>
      <c r="BB229" s="115">
        <f t="shared" si="211"/>
        <v>17.529375002638606</v>
      </c>
      <c r="BC229" s="115">
        <f t="shared" si="211"/>
        <v>17.894746034631218</v>
      </c>
      <c r="BD229" s="115">
        <f t="shared" si="211"/>
        <v>18.055592152614295</v>
      </c>
      <c r="BE229" s="115">
        <f t="shared" si="211"/>
        <v>18.450198667795</v>
      </c>
      <c r="BF229" s="115">
        <f t="shared" si="211"/>
        <v>18.900933273293681</v>
      </c>
      <c r="BG229" s="115">
        <f t="shared" si="211"/>
        <v>19.098192499658332</v>
      </c>
      <c r="BH229" s="115">
        <f t="shared" si="211"/>
        <v>19.261848804887528</v>
      </c>
      <c r="BI229" s="115">
        <f t="shared" si="211"/>
        <v>19.662638353250891</v>
      </c>
      <c r="BJ229" s="115">
        <f t="shared" si="211"/>
        <v>20.262197789473987</v>
      </c>
      <c r="BK229" s="65">
        <f>BA229/N229</f>
        <v>1.3465058456231322</v>
      </c>
    </row>
    <row r="230" spans="1:63" s="51" customFormat="1">
      <c r="A230" s="38"/>
      <c r="C230" s="51" t="s">
        <v>329</v>
      </c>
      <c r="D230" s="115">
        <f t="shared" ref="D230:AI230" si="212">(D226/(D226+D227*1.25))*(D128/D226)</f>
        <v>10.309075371216512</v>
      </c>
      <c r="E230" s="115">
        <f t="shared" si="212"/>
        <v>10.819428822719486</v>
      </c>
      <c r="F230" s="115">
        <f t="shared" si="212"/>
        <v>11.067978446773136</v>
      </c>
      <c r="G230" s="115">
        <f t="shared" si="212"/>
        <v>11.321487651737248</v>
      </c>
      <c r="H230" s="115">
        <f t="shared" si="212"/>
        <v>11.763749525871409</v>
      </c>
      <c r="I230" s="115">
        <f t="shared" si="212"/>
        <v>11.922716749483017</v>
      </c>
      <c r="J230" s="115">
        <f t="shared" si="212"/>
        <v>12.25989415236795</v>
      </c>
      <c r="K230" s="115">
        <f t="shared" si="212"/>
        <v>12.180210593613785</v>
      </c>
      <c r="L230" s="115">
        <f t="shared" si="212"/>
        <v>12.092172700698026</v>
      </c>
      <c r="M230" s="115">
        <f t="shared" si="212"/>
        <v>12.077366991552548</v>
      </c>
      <c r="N230" s="115">
        <f t="shared" si="212"/>
        <v>12.74213020593514</v>
      </c>
      <c r="O230" s="115">
        <f t="shared" si="212"/>
        <v>12.834530138788063</v>
      </c>
      <c r="P230" s="115">
        <f t="shared" si="212"/>
        <v>12.707393392702333</v>
      </c>
      <c r="Q230" s="115">
        <f t="shared" si="212"/>
        <v>12.533152585953388</v>
      </c>
      <c r="R230" s="115">
        <f t="shared" si="212"/>
        <v>12.659973417224334</v>
      </c>
      <c r="S230" s="115">
        <f t="shared" si="212"/>
        <v>13.054591348559491</v>
      </c>
      <c r="T230" s="115">
        <f t="shared" si="212"/>
        <v>13.08030360276585</v>
      </c>
      <c r="U230" s="115">
        <f t="shared" si="212"/>
        <v>12.941432052825817</v>
      </c>
      <c r="V230" s="115">
        <f t="shared" si="212"/>
        <v>12.699518305492454</v>
      </c>
      <c r="W230" s="115">
        <f t="shared" si="212"/>
        <v>12.403733127283193</v>
      </c>
      <c r="X230" s="115">
        <f t="shared" si="212"/>
        <v>12.88235987875718</v>
      </c>
      <c r="Y230" s="115">
        <f t="shared" si="212"/>
        <v>13.45653167340555</v>
      </c>
      <c r="Z230" s="115">
        <f t="shared" si="212"/>
        <v>13.471627002025482</v>
      </c>
      <c r="AA230" s="115">
        <f t="shared" si="212"/>
        <v>13.41874332255288</v>
      </c>
      <c r="AB230" s="115">
        <f t="shared" si="212"/>
        <v>13.67381301799729</v>
      </c>
      <c r="AC230" s="115">
        <f t="shared" si="212"/>
        <v>13.88079582656513</v>
      </c>
      <c r="AD230" s="115">
        <f t="shared" si="212"/>
        <v>13.875815175710677</v>
      </c>
      <c r="AE230" s="115">
        <f t="shared" si="212"/>
        <v>14.359302293050815</v>
      </c>
      <c r="AF230" s="115">
        <f t="shared" si="212"/>
        <v>14.617926110485817</v>
      </c>
      <c r="AG230" s="115">
        <f t="shared" si="212"/>
        <v>15.368110432805528</v>
      </c>
      <c r="AH230" s="115">
        <f t="shared" si="212"/>
        <v>14.762436787023567</v>
      </c>
      <c r="AI230" s="115">
        <f t="shared" si="212"/>
        <v>14.762897501517381</v>
      </c>
      <c r="AJ230" s="115">
        <f t="shared" ref="AJ230:BJ230" si="213">(AJ226/(AJ226+AJ227*1.25))*(AJ128/AJ226)</f>
        <v>14.521442442067187</v>
      </c>
      <c r="AK230" s="115">
        <f t="shared" si="213"/>
        <v>14.30547439012525</v>
      </c>
      <c r="AL230" s="115">
        <f t="shared" si="213"/>
        <v>14.647580125923175</v>
      </c>
      <c r="AM230" s="115">
        <f t="shared" si="213"/>
        <v>15.024177218551349</v>
      </c>
      <c r="AN230" s="115">
        <f t="shared" si="213"/>
        <v>14.734026916888887</v>
      </c>
      <c r="AO230" s="115">
        <f t="shared" si="213"/>
        <v>14.789249904304961</v>
      </c>
      <c r="AP230" s="115">
        <f t="shared" si="213"/>
        <v>15.097685225705007</v>
      </c>
      <c r="AQ230" s="115">
        <f t="shared" si="213"/>
        <v>15.040614987308478</v>
      </c>
      <c r="AR230" s="115">
        <f t="shared" si="213"/>
        <v>15.002884923512017</v>
      </c>
      <c r="AS230" s="115">
        <f t="shared" si="213"/>
        <v>15.16445231622605</v>
      </c>
      <c r="AT230" s="115">
        <f t="shared" si="213"/>
        <v>15.151558209606399</v>
      </c>
      <c r="AU230" s="115">
        <f t="shared" si="213"/>
        <v>15.282372693158992</v>
      </c>
      <c r="AV230" s="115">
        <f t="shared" si="213"/>
        <v>15.283313385413933</v>
      </c>
      <c r="AW230" s="115">
        <f t="shared" si="213"/>
        <v>15.124467977946669</v>
      </c>
      <c r="AX230" s="115">
        <f t="shared" si="213"/>
        <v>15.299202413883636</v>
      </c>
      <c r="AY230" s="115">
        <f t="shared" si="213"/>
        <v>15.187426406527958</v>
      </c>
      <c r="AZ230" s="115">
        <f t="shared" si="213"/>
        <v>15.416546394209128</v>
      </c>
      <c r="BA230" s="115">
        <f t="shared" si="213"/>
        <v>15.786778168301231</v>
      </c>
      <c r="BB230" s="115">
        <f t="shared" si="213"/>
        <v>16.006897069259278</v>
      </c>
      <c r="BC230" s="115">
        <f t="shared" si="213"/>
        <v>16.249684994248724</v>
      </c>
      <c r="BD230" s="115">
        <f t="shared" si="213"/>
        <v>16.29980590941647</v>
      </c>
      <c r="BE230" s="115">
        <f t="shared" si="213"/>
        <v>16.582420626201824</v>
      </c>
      <c r="BF230" s="115">
        <f t="shared" si="213"/>
        <v>16.934396460051055</v>
      </c>
      <c r="BG230" s="115">
        <f t="shared" si="213"/>
        <v>17.051638723714031</v>
      </c>
      <c r="BH230" s="115">
        <f t="shared" si="213"/>
        <v>17.146461265365652</v>
      </c>
      <c r="BI230" s="115">
        <f t="shared" si="213"/>
        <v>17.477083401641558</v>
      </c>
      <c r="BJ230" s="115">
        <f t="shared" si="213"/>
        <v>18.009344639552928</v>
      </c>
      <c r="BK230" s="65">
        <f>BA230/N230</f>
        <v>1.2389434037448406</v>
      </c>
    </row>
    <row r="231" spans="1:63" s="51" customFormat="1">
      <c r="A231" s="38"/>
      <c r="C231" s="51" t="s">
        <v>330</v>
      </c>
      <c r="D231" s="115">
        <f t="shared" ref="D231:AI231" si="214">(D227*1.25/(D226+D227*1.25))*(D128/D227)</f>
        <v>12.886344214020639</v>
      </c>
      <c r="E231" s="115">
        <f t="shared" si="214"/>
        <v>13.524286028399359</v>
      </c>
      <c r="F231" s="115">
        <f t="shared" si="214"/>
        <v>13.834973058466417</v>
      </c>
      <c r="G231" s="115">
        <f t="shared" si="214"/>
        <v>14.151859564671561</v>
      </c>
      <c r="H231" s="115">
        <f t="shared" si="214"/>
        <v>14.704686907339259</v>
      </c>
      <c r="I231" s="115">
        <f t="shared" si="214"/>
        <v>14.903395936853771</v>
      </c>
      <c r="J231" s="115">
        <f t="shared" si="214"/>
        <v>15.324867690459939</v>
      </c>
      <c r="K231" s="115">
        <f t="shared" si="214"/>
        <v>15.225263242017228</v>
      </c>
      <c r="L231" s="115">
        <f t="shared" si="214"/>
        <v>15.115215875872531</v>
      </c>
      <c r="M231" s="115">
        <f t="shared" si="214"/>
        <v>15.096708739440682</v>
      </c>
      <c r="N231" s="115">
        <f t="shared" si="214"/>
        <v>15.927662757418929</v>
      </c>
      <c r="O231" s="115">
        <f t="shared" si="214"/>
        <v>16.043162673485078</v>
      </c>
      <c r="P231" s="115">
        <f t="shared" si="214"/>
        <v>15.884241740877915</v>
      </c>
      <c r="Q231" s="115">
        <f t="shared" si="214"/>
        <v>15.666440732441734</v>
      </c>
      <c r="R231" s="115">
        <f t="shared" si="214"/>
        <v>15.824966771530418</v>
      </c>
      <c r="S231" s="115">
        <f t="shared" si="214"/>
        <v>16.318239185699362</v>
      </c>
      <c r="T231" s="115">
        <f t="shared" si="214"/>
        <v>16.350379503457312</v>
      </c>
      <c r="U231" s="115">
        <f t="shared" si="214"/>
        <v>16.176790066032272</v>
      </c>
      <c r="V231" s="115">
        <f t="shared" si="214"/>
        <v>15.874397881865567</v>
      </c>
      <c r="W231" s="115">
        <f t="shared" si="214"/>
        <v>15.504666409103992</v>
      </c>
      <c r="X231" s="115">
        <f t="shared" si="214"/>
        <v>16.102949848446475</v>
      </c>
      <c r="Y231" s="115">
        <f t="shared" si="214"/>
        <v>16.820664591756934</v>
      </c>
      <c r="Z231" s="115">
        <f t="shared" si="214"/>
        <v>16.839533752531857</v>
      </c>
      <c r="AA231" s="115">
        <f t="shared" si="214"/>
        <v>16.773429153191099</v>
      </c>
      <c r="AB231" s="115">
        <f t="shared" si="214"/>
        <v>17.092266272496612</v>
      </c>
      <c r="AC231" s="115">
        <f t="shared" si="214"/>
        <v>17.350994783206417</v>
      </c>
      <c r="AD231" s="115">
        <f t="shared" si="214"/>
        <v>17.344768969638348</v>
      </c>
      <c r="AE231" s="115">
        <f t="shared" si="214"/>
        <v>17.949127866313518</v>
      </c>
      <c r="AF231" s="115">
        <f t="shared" si="214"/>
        <v>18.272407638107271</v>
      </c>
      <c r="AG231" s="115">
        <f t="shared" si="214"/>
        <v>19.210138041006907</v>
      </c>
      <c r="AH231" s="115">
        <f t="shared" si="214"/>
        <v>18.453045983779461</v>
      </c>
      <c r="AI231" s="115">
        <f t="shared" si="214"/>
        <v>18.453621876896726</v>
      </c>
      <c r="AJ231" s="115">
        <f t="shared" ref="AJ231:BJ231" si="215">(AJ227*1.25/(AJ226+AJ227*1.25))*(AJ128/AJ227)</f>
        <v>18.151803052583983</v>
      </c>
      <c r="AK231" s="115">
        <f t="shared" si="215"/>
        <v>17.881842987656562</v>
      </c>
      <c r="AL231" s="115">
        <f t="shared" si="215"/>
        <v>18.309475157403973</v>
      </c>
      <c r="AM231" s="115">
        <f t="shared" si="215"/>
        <v>18.780221523189184</v>
      </c>
      <c r="AN231" s="115">
        <f t="shared" si="215"/>
        <v>18.41753364611111</v>
      </c>
      <c r="AO231" s="115">
        <f t="shared" si="215"/>
        <v>18.486562380381205</v>
      </c>
      <c r="AP231" s="115">
        <f t="shared" si="215"/>
        <v>18.872106532131259</v>
      </c>
      <c r="AQ231" s="115">
        <f t="shared" si="215"/>
        <v>18.800768734135598</v>
      </c>
      <c r="AR231" s="115">
        <f t="shared" si="215"/>
        <v>18.753606154390017</v>
      </c>
      <c r="AS231" s="115">
        <f t="shared" si="215"/>
        <v>18.955565395282566</v>
      </c>
      <c r="AT231" s="115">
        <f t="shared" si="215"/>
        <v>18.939447762008001</v>
      </c>
      <c r="AU231" s="115">
        <f t="shared" si="215"/>
        <v>19.102965866448741</v>
      </c>
      <c r="AV231" s="115">
        <f t="shared" si="215"/>
        <v>19.10414173176742</v>
      </c>
      <c r="AW231" s="115">
        <f t="shared" si="215"/>
        <v>18.905584972433335</v>
      </c>
      <c r="AX231" s="115">
        <f t="shared" si="215"/>
        <v>19.124003017354543</v>
      </c>
      <c r="AY231" s="115">
        <f t="shared" si="215"/>
        <v>18.984283008159952</v>
      </c>
      <c r="AZ231" s="115">
        <f t="shared" si="215"/>
        <v>19.270682992761408</v>
      </c>
      <c r="BA231" s="115">
        <f t="shared" si="215"/>
        <v>19.733472710376542</v>
      </c>
      <c r="BB231" s="115">
        <f t="shared" si="215"/>
        <v>20.008621336574095</v>
      </c>
      <c r="BC231" s="115">
        <f t="shared" si="215"/>
        <v>20.312106242810902</v>
      </c>
      <c r="BD231" s="115">
        <f t="shared" si="215"/>
        <v>20.374757386770593</v>
      </c>
      <c r="BE231" s="115">
        <f t="shared" si="215"/>
        <v>20.72802578275228</v>
      </c>
      <c r="BF231" s="115">
        <f t="shared" si="215"/>
        <v>21.167995575063813</v>
      </c>
      <c r="BG231" s="115">
        <f t="shared" si="215"/>
        <v>21.314548404642537</v>
      </c>
      <c r="BH231" s="115">
        <f t="shared" si="215"/>
        <v>21.433076581707063</v>
      </c>
      <c r="BI231" s="115">
        <f t="shared" si="215"/>
        <v>21.846354252051945</v>
      </c>
      <c r="BJ231" s="115">
        <f t="shared" si="215"/>
        <v>22.511680799441159</v>
      </c>
      <c r="BK231" s="65">
        <f>BA231/N231</f>
        <v>1.2389434037448406</v>
      </c>
    </row>
    <row r="232" spans="1:63" s="51" customFormat="1">
      <c r="A232" s="38"/>
      <c r="B232" s="116">
        <f>(N232/X232)^(1/10)</f>
        <v>0.99890597530644698</v>
      </c>
      <c r="C232" s="51" t="s">
        <v>331</v>
      </c>
      <c r="D232" s="117">
        <f t="shared" ref="D232:L233" si="216">E232*$B232</f>
        <v>18.419263685956835</v>
      </c>
      <c r="E232" s="117">
        <f t="shared" si="216"/>
        <v>18.439436885244504</v>
      </c>
      <c r="F232" s="117">
        <f t="shared" si="216"/>
        <v>18.45963217868189</v>
      </c>
      <c r="G232" s="117">
        <f t="shared" si="216"/>
        <v>18.479849590467005</v>
      </c>
      <c r="H232" s="117">
        <f t="shared" si="216"/>
        <v>18.500089144824376</v>
      </c>
      <c r="I232" s="117">
        <f t="shared" si="216"/>
        <v>18.52035086600505</v>
      </c>
      <c r="J232" s="117">
        <f t="shared" si="216"/>
        <v>18.540634778286645</v>
      </c>
      <c r="K232" s="117">
        <f t="shared" si="216"/>
        <v>18.560940905973357</v>
      </c>
      <c r="L232" s="117">
        <f t="shared" si="216"/>
        <v>18.581269273396011</v>
      </c>
      <c r="M232" s="117">
        <f>N232*$B232</f>
        <v>18.60161990491207</v>
      </c>
      <c r="N232" s="113">
        <f t="shared" ref="N232:AS232" si="217">(N$120*(N226*N230/(N$226*N$229+N$227*N$230))*1000000000/1.609)/(N226*1000000*$N$5)</f>
        <v>18.621992824905686</v>
      </c>
      <c r="O232" s="113">
        <f t="shared" si="217"/>
        <v>18.757042674793492</v>
      </c>
      <c r="P232" s="113">
        <f t="shared" si="217"/>
        <v>18.571230594429597</v>
      </c>
      <c r="Q232" s="113">
        <f t="shared" si="217"/>
        <v>18.316606523136212</v>
      </c>
      <c r="R232" s="113">
        <f t="shared" si="217"/>
        <v>18.50194690100232</v>
      </c>
      <c r="S232" s="113">
        <f t="shared" si="217"/>
        <v>19.078681954666806</v>
      </c>
      <c r="T232" s="113">
        <f t="shared" si="217"/>
        <v>19.116247561760403</v>
      </c>
      <c r="U232" s="113">
        <f t="shared" si="217"/>
        <v>18.913312806810609</v>
      </c>
      <c r="V232" s="113">
        <f t="shared" si="217"/>
        <v>18.559742545893577</v>
      </c>
      <c r="W232" s="113">
        <f t="shared" si="217"/>
        <v>18.127460775445787</v>
      </c>
      <c r="X232" s="113">
        <f t="shared" si="217"/>
        <v>18.826953274751638</v>
      </c>
      <c r="Y232" s="113">
        <f t="shared" si="217"/>
        <v>19.666091864015687</v>
      </c>
      <c r="Z232" s="113">
        <f t="shared" si="217"/>
        <v>19.68819640511051</v>
      </c>
      <c r="AA232" s="113">
        <f t="shared" si="217"/>
        <v>19.610951801334956</v>
      </c>
      <c r="AB232" s="113">
        <f t="shared" si="217"/>
        <v>19.98379507856944</v>
      </c>
      <c r="AC232" s="113">
        <f t="shared" si="217"/>
        <v>20.286372963439387</v>
      </c>
      <c r="AD232" s="113">
        <f t="shared" si="217"/>
        <v>20.279212269510353</v>
      </c>
      <c r="AE232" s="113">
        <f t="shared" si="217"/>
        <v>20.986669424774043</v>
      </c>
      <c r="AF232" s="113">
        <f t="shared" si="217"/>
        <v>21.365157126714291</v>
      </c>
      <c r="AG232" s="113">
        <f t="shared" si="217"/>
        <v>22.463654512202812</v>
      </c>
      <c r="AH232" s="113">
        <f t="shared" si="217"/>
        <v>21.584384786190739</v>
      </c>
      <c r="AI232" s="113">
        <f t="shared" si="217"/>
        <v>21.58800320066711</v>
      </c>
      <c r="AJ232" s="113">
        <f t="shared" si="217"/>
        <v>21.241794090439988</v>
      </c>
      <c r="AK232" s="113">
        <f t="shared" si="217"/>
        <v>20.937520348552837</v>
      </c>
      <c r="AL232" s="113">
        <f t="shared" si="217"/>
        <v>21.461874233757271</v>
      </c>
      <c r="AM232" s="113">
        <f t="shared" si="217"/>
        <v>22.03645507415257</v>
      </c>
      <c r="AN232" s="113">
        <f t="shared" si="217"/>
        <v>21.627821137594371</v>
      </c>
      <c r="AO232" s="113">
        <f t="shared" si="217"/>
        <v>21.725409174488831</v>
      </c>
      <c r="AP232" s="113">
        <f t="shared" si="217"/>
        <v>22.18786910573942</v>
      </c>
      <c r="AQ232" s="113">
        <f t="shared" si="217"/>
        <v>22.122605917303186</v>
      </c>
      <c r="AR232" s="113">
        <f t="shared" si="217"/>
        <v>22.080430683179507</v>
      </c>
      <c r="AS232" s="113">
        <f t="shared" si="217"/>
        <v>22.343340472766766</v>
      </c>
      <c r="AT232" s="113">
        <f t="shared" ref="AT232:BJ232" si="218">(AT$120*(AT226*AT230/(AT$226*AT$229+AT$227*AT$230))*1000000000/1.609)/(AT226*1000000*$N$5)</f>
        <v>22.360749251836772</v>
      </c>
      <c r="AU232" s="113">
        <f t="shared" si="218"/>
        <v>22.601934891250128</v>
      </c>
      <c r="AV232" s="113">
        <f t="shared" si="218"/>
        <v>22.652432242956866</v>
      </c>
      <c r="AW232" s="113">
        <f t="shared" si="218"/>
        <v>22.480788868282598</v>
      </c>
      <c r="AX232" s="113">
        <f t="shared" si="218"/>
        <v>22.819434540554539</v>
      </c>
      <c r="AY232" s="113">
        <f t="shared" si="218"/>
        <v>22.722290799133809</v>
      </c>
      <c r="AZ232" s="113">
        <f t="shared" si="218"/>
        <v>23.145238960466536</v>
      </c>
      <c r="BA232" s="113">
        <f t="shared" si="218"/>
        <v>23.766039855249421</v>
      </c>
      <c r="BB232" s="113">
        <f t="shared" si="218"/>
        <v>24.19222833033977</v>
      </c>
      <c r="BC232" s="113">
        <f t="shared" si="218"/>
        <v>24.665870464460905</v>
      </c>
      <c r="BD232" s="113">
        <f t="shared" si="218"/>
        <v>24.86262354700882</v>
      </c>
      <c r="BE232" s="113">
        <f t="shared" si="218"/>
        <v>25.392045865047844</v>
      </c>
      <c r="BF232" s="113">
        <f t="shared" si="218"/>
        <v>26.005106414245706</v>
      </c>
      <c r="BG232" s="113">
        <f t="shared" si="218"/>
        <v>26.271171472158613</v>
      </c>
      <c r="BH232" s="113">
        <f t="shared" si="218"/>
        <v>26.494086039097528</v>
      </c>
      <c r="BI232" s="113">
        <f t="shared" si="218"/>
        <v>27.045090164760488</v>
      </c>
      <c r="BJ232" s="113">
        <f t="shared" si="218"/>
        <v>27.869758302924698</v>
      </c>
      <c r="BK232" s="65"/>
    </row>
    <row r="233" spans="1:63" s="51" customFormat="1">
      <c r="A233" s="38"/>
      <c r="B233" s="116">
        <f>(N233/X233)^(1/10)</f>
        <v>0.99890609055465229</v>
      </c>
      <c r="C233" s="51" t="s">
        <v>332</v>
      </c>
      <c r="D233" s="117">
        <f t="shared" si="216"/>
        <v>23.023653428644913</v>
      </c>
      <c r="E233" s="117">
        <f t="shared" si="216"/>
        <v>23.048866801743902</v>
      </c>
      <c r="F233" s="117">
        <f t="shared" si="216"/>
        <v>23.07410778619419</v>
      </c>
      <c r="G233" s="117">
        <f t="shared" si="216"/>
        <v>23.099376412233173</v>
      </c>
      <c r="H233" s="117">
        <f t="shared" si="216"/>
        <v>23.12467271013136</v>
      </c>
      <c r="I233" s="117">
        <f t="shared" si="216"/>
        <v>23.149996710192408</v>
      </c>
      <c r="J233" s="117">
        <f t="shared" si="216"/>
        <v>23.175348442753158</v>
      </c>
      <c r="K233" s="117">
        <f t="shared" si="216"/>
        <v>23.200727938183679</v>
      </c>
      <c r="L233" s="117">
        <f t="shared" si="216"/>
        <v>23.226135226887294</v>
      </c>
      <c r="M233" s="117">
        <f>N233*$B233</f>
        <v>23.251570339300621</v>
      </c>
      <c r="N233" s="113">
        <f t="shared" ref="N233:AS233" si="219">(N$120*(N227*N231/(N$226*N$230+N$227*N$231))*1000000000/1.609)/(N227*1000000*$N$5)</f>
        <v>23.27703330589361</v>
      </c>
      <c r="O233" s="113">
        <f t="shared" si="219"/>
        <v>23.445827399166788</v>
      </c>
      <c r="P233" s="113">
        <f t="shared" si="219"/>
        <v>23.213576886480769</v>
      </c>
      <c r="Q233" s="113">
        <f t="shared" si="219"/>
        <v>22.895277748393806</v>
      </c>
      <c r="R233" s="113">
        <f t="shared" si="219"/>
        <v>23.126951155089962</v>
      </c>
      <c r="S233" s="113">
        <f t="shared" si="219"/>
        <v>23.847830206107091</v>
      </c>
      <c r="T233" s="113">
        <f t="shared" si="219"/>
        <v>23.894800766590958</v>
      </c>
      <c r="U233" s="113">
        <f t="shared" si="219"/>
        <v>23.641113381440114</v>
      </c>
      <c r="V233" s="113">
        <f t="shared" si="219"/>
        <v>23.199190856491384</v>
      </c>
      <c r="W233" s="113">
        <f t="shared" si="219"/>
        <v>22.658857228338718</v>
      </c>
      <c r="X233" s="113">
        <f t="shared" si="219"/>
        <v>23.53320167899912</v>
      </c>
      <c r="Y233" s="113">
        <f t="shared" si="219"/>
        <v>24.58208563884984</v>
      </c>
      <c r="Z233" s="113">
        <f t="shared" si="219"/>
        <v>24.609661441433154</v>
      </c>
      <c r="AA233" s="113">
        <f t="shared" si="219"/>
        <v>24.513054740000396</v>
      </c>
      <c r="AB233" s="113">
        <f t="shared" si="219"/>
        <v>24.97901025138092</v>
      </c>
      <c r="AC233" s="113">
        <f t="shared" si="219"/>
        <v>25.357121732814132</v>
      </c>
      <c r="AD233" s="113">
        <f t="shared" si="219"/>
        <v>25.348023193248896</v>
      </c>
      <c r="AE233" s="113">
        <f t="shared" si="219"/>
        <v>26.231246449596938</v>
      </c>
      <c r="AF233" s="113">
        <f t="shared" si="219"/>
        <v>26.703694550098049</v>
      </c>
      <c r="AG233" s="113">
        <f t="shared" si="219"/>
        <v>28.074114187472453</v>
      </c>
      <c r="AH233" s="113">
        <f t="shared" si="219"/>
        <v>26.967683363307607</v>
      </c>
      <c r="AI233" s="113">
        <f t="shared" si="219"/>
        <v>26.968524986053858</v>
      </c>
      <c r="AJ233" s="113">
        <f t="shared" si="219"/>
        <v>26.52744038168521</v>
      </c>
      <c r="AK233" s="113">
        <f t="shared" si="219"/>
        <v>26.132914862261472</v>
      </c>
      <c r="AL233" s="113">
        <f t="shared" si="219"/>
        <v>26.757865830239854</v>
      </c>
      <c r="AM233" s="113">
        <f t="shared" si="219"/>
        <v>27.445824823464175</v>
      </c>
      <c r="AN233" s="113">
        <f t="shared" si="219"/>
        <v>26.915784859474002</v>
      </c>
      <c r="AO233" s="113">
        <f t="shared" si="219"/>
        <v>27.016664955388904</v>
      </c>
      <c r="AP233" s="113">
        <f t="shared" si="219"/>
        <v>27.580107577062847</v>
      </c>
      <c r="AQ233" s="113">
        <f t="shared" si="219"/>
        <v>27.475852965121081</v>
      </c>
      <c r="AR233" s="113">
        <f t="shared" si="219"/>
        <v>27.406928543738633</v>
      </c>
      <c r="AS233" s="113">
        <f t="shared" si="219"/>
        <v>27.702076177656181</v>
      </c>
      <c r="AT233" s="113">
        <f t="shared" ref="AT233:BJ233" si="220">(AT$120*(AT227*AT231/(AT$226*AT$230+AT$227*AT$231))*1000000000/1.609)/(AT227*1000000*$N$5)</f>
        <v>27.678521517298396</v>
      </c>
      <c r="AU233" s="113">
        <f t="shared" si="220"/>
        <v>27.917490437042186</v>
      </c>
      <c r="AV233" s="113">
        <f t="shared" si="220"/>
        <v>27.919208872232772</v>
      </c>
      <c r="AW233" s="113">
        <f t="shared" si="220"/>
        <v>27.629033698981004</v>
      </c>
      <c r="AX233" s="113">
        <f t="shared" si="220"/>
        <v>27.948234587628079</v>
      </c>
      <c r="AY233" s="113">
        <f t="shared" si="220"/>
        <v>27.744044722670822</v>
      </c>
      <c r="AZ233" s="113">
        <f t="shared" si="220"/>
        <v>28.162595898816875</v>
      </c>
      <c r="BA233" s="113">
        <f t="shared" si="220"/>
        <v>28.838926873085846</v>
      </c>
      <c r="BB233" s="113">
        <f t="shared" si="220"/>
        <v>29.24103506897216</v>
      </c>
      <c r="BC233" s="113">
        <f t="shared" si="220"/>
        <v>29.68455452175688</v>
      </c>
      <c r="BD233" s="113">
        <f t="shared" si="220"/>
        <v>29.77611426826914</v>
      </c>
      <c r="BE233" s="113">
        <f t="shared" si="220"/>
        <v>30.292388397400547</v>
      </c>
      <c r="BF233" s="113">
        <f t="shared" si="220"/>
        <v>30.93536983574451</v>
      </c>
      <c r="BG233" s="113">
        <f t="shared" si="220"/>
        <v>31.149545333250433</v>
      </c>
      <c r="BH233" s="113">
        <f t="shared" si="220"/>
        <v>31.32276499311125</v>
      </c>
      <c r="BI233" s="113">
        <f t="shared" si="220"/>
        <v>31.926737982978775</v>
      </c>
      <c r="BJ233" s="113">
        <f t="shared" si="220"/>
        <v>32.89906069213837</v>
      </c>
      <c r="BK233" s="65"/>
    </row>
    <row r="234" spans="1:63" s="51" customFormat="1">
      <c r="A234" s="38"/>
      <c r="C234" s="51" t="s">
        <v>333</v>
      </c>
      <c r="D234" s="118">
        <f t="shared" ref="D234:M234" si="221">1-D246-D272</f>
        <v>0.80377002333152059</v>
      </c>
      <c r="E234" s="118">
        <f t="shared" si="221"/>
        <v>0.81005298463230091</v>
      </c>
      <c r="F234" s="118">
        <f t="shared" si="221"/>
        <v>0.81860509084337263</v>
      </c>
      <c r="G234" s="118">
        <f t="shared" si="221"/>
        <v>0.82754826700138595</v>
      </c>
      <c r="H234" s="118">
        <f t="shared" si="221"/>
        <v>0.83208400134971261</v>
      </c>
      <c r="I234" s="118">
        <f t="shared" si="221"/>
        <v>0.83875070006529406</v>
      </c>
      <c r="J234" s="118">
        <f t="shared" si="221"/>
        <v>0.84442288746887439</v>
      </c>
      <c r="K234" s="118">
        <f t="shared" si="221"/>
        <v>0.84996499854422136</v>
      </c>
      <c r="L234" s="118">
        <f t="shared" si="221"/>
        <v>0.85376862948138632</v>
      </c>
      <c r="M234" s="118">
        <f t="shared" si="221"/>
        <v>0.85695841029446507</v>
      </c>
      <c r="N234" s="78">
        <f t="shared" ref="N234:BJ234" si="222">N226/N$281</f>
        <v>0.85834063104071556</v>
      </c>
      <c r="O234" s="78">
        <f t="shared" si="222"/>
        <v>0.86286611309020034</v>
      </c>
      <c r="P234" s="78">
        <f t="shared" si="222"/>
        <v>0.8677679703572404</v>
      </c>
      <c r="Q234" s="78">
        <f t="shared" si="222"/>
        <v>0.86943889820832743</v>
      </c>
      <c r="R234" s="78">
        <f t="shared" si="222"/>
        <v>0.86484980183587601</v>
      </c>
      <c r="S234" s="78">
        <f t="shared" si="222"/>
        <v>0.86460936587848114</v>
      </c>
      <c r="T234" s="78">
        <f t="shared" si="222"/>
        <v>0.86431139582873784</v>
      </c>
      <c r="U234" s="78">
        <f t="shared" si="222"/>
        <v>0.86671690062965234</v>
      </c>
      <c r="V234" s="78">
        <f t="shared" si="222"/>
        <v>0.87023306520863808</v>
      </c>
      <c r="W234" s="78">
        <f t="shared" si="222"/>
        <v>0.87063787311961338</v>
      </c>
      <c r="X234" s="78">
        <f t="shared" si="222"/>
        <v>0.87222637859073016</v>
      </c>
      <c r="Y234" s="78">
        <f t="shared" si="222"/>
        <v>0.87173009220143161</v>
      </c>
      <c r="Z234" s="78">
        <f t="shared" si="222"/>
        <v>0.87588577450345617</v>
      </c>
      <c r="AA234" s="78">
        <f t="shared" si="222"/>
        <v>0.87986654571345702</v>
      </c>
      <c r="AB234" s="78">
        <f t="shared" si="222"/>
        <v>0.88041453940553716</v>
      </c>
      <c r="AC234" s="78">
        <f t="shared" si="222"/>
        <v>0.88238856837754032</v>
      </c>
      <c r="AD234" s="78">
        <f t="shared" si="222"/>
        <v>0.88371274347747297</v>
      </c>
      <c r="AE234" s="78">
        <f t="shared" si="222"/>
        <v>0.88334998857908886</v>
      </c>
      <c r="AF234" s="78">
        <f t="shared" si="222"/>
        <v>0.88608490893873082</v>
      </c>
      <c r="AG234" s="78">
        <f t="shared" si="222"/>
        <v>0.87996143913425318</v>
      </c>
      <c r="AH234" s="78">
        <f t="shared" si="222"/>
        <v>0.89521628648489537</v>
      </c>
      <c r="AI234" s="78">
        <f t="shared" si="222"/>
        <v>0.89727633073113833</v>
      </c>
      <c r="AJ234" s="78">
        <f t="shared" si="222"/>
        <v>0.9047500515836624</v>
      </c>
      <c r="AK234" s="78">
        <f t="shared" si="222"/>
        <v>0.91008205256612373</v>
      </c>
      <c r="AL234" s="78">
        <f t="shared" si="222"/>
        <v>0.91318305433229074</v>
      </c>
      <c r="AM234" s="78">
        <f t="shared" si="222"/>
        <v>0.9191990815504355</v>
      </c>
      <c r="AN234" s="78">
        <f t="shared" si="222"/>
        <v>0.9243230802633764</v>
      </c>
      <c r="AO234" s="78">
        <f t="shared" si="222"/>
        <v>0.92805686337672344</v>
      </c>
      <c r="AP234" s="78">
        <f t="shared" si="222"/>
        <v>0.9305816715231735</v>
      </c>
      <c r="AQ234" s="78">
        <f t="shared" si="222"/>
        <v>0.93881219570631536</v>
      </c>
      <c r="AR234" s="78">
        <f t="shared" si="222"/>
        <v>0.94475547000136051</v>
      </c>
      <c r="AS234" s="78">
        <f t="shared" si="222"/>
        <v>0.95018702195172655</v>
      </c>
      <c r="AT234" s="78">
        <f t="shared" si="222"/>
        <v>0.95512510949782381</v>
      </c>
      <c r="AU234" s="78">
        <f t="shared" si="222"/>
        <v>0.9571823017001142</v>
      </c>
      <c r="AV234" s="78">
        <f t="shared" si="222"/>
        <v>0.96075870238483652</v>
      </c>
      <c r="AW234" s="78">
        <f t="shared" si="222"/>
        <v>0.96274338378969626</v>
      </c>
      <c r="AX234" s="78">
        <f t="shared" si="222"/>
        <v>0.96211323023357342</v>
      </c>
      <c r="AY234" s="78">
        <f t="shared" si="222"/>
        <v>0.96226078034759677</v>
      </c>
      <c r="AZ234" s="78">
        <f t="shared" si="222"/>
        <v>0.96355353294192625</v>
      </c>
      <c r="BA234" s="78">
        <f t="shared" si="222"/>
        <v>0.96487116796692018</v>
      </c>
      <c r="BB234" s="78">
        <f t="shared" si="222"/>
        <v>0.96630290438614796</v>
      </c>
      <c r="BC234" s="78">
        <f t="shared" si="222"/>
        <v>0.96645197128065929</v>
      </c>
      <c r="BD234" s="78">
        <f t="shared" si="222"/>
        <v>0.96704505076011349</v>
      </c>
      <c r="BE234" s="78">
        <f t="shared" si="222"/>
        <v>0.967382192987714</v>
      </c>
      <c r="BF234" s="78">
        <f t="shared" si="222"/>
        <v>0.96733014085581537</v>
      </c>
      <c r="BG234" s="78">
        <f t="shared" si="222"/>
        <v>0.96761938060901187</v>
      </c>
      <c r="BH234" s="78">
        <f t="shared" si="222"/>
        <v>0.9681477055293003</v>
      </c>
      <c r="BI234" s="78">
        <f t="shared" si="222"/>
        <v>0.96861579670725306</v>
      </c>
      <c r="BJ234" s="78">
        <f t="shared" si="222"/>
        <v>0.96931011543326129</v>
      </c>
      <c r="BK234" s="65"/>
    </row>
    <row r="235" spans="1:63" s="51" customFormat="1">
      <c r="A235" s="38"/>
      <c r="C235" s="51" t="s">
        <v>334</v>
      </c>
      <c r="D235" s="118">
        <f t="shared" ref="D235:L235" si="223">E235-0.0005</f>
        <v>1.7418232310765926E-2</v>
      </c>
      <c r="E235" s="118">
        <f t="shared" si="223"/>
        <v>1.7918232310765926E-2</v>
      </c>
      <c r="F235" s="118">
        <f t="shared" si="223"/>
        <v>1.8418232310765927E-2</v>
      </c>
      <c r="G235" s="118">
        <f t="shared" si="223"/>
        <v>1.8918232310765927E-2</v>
      </c>
      <c r="H235" s="118">
        <f t="shared" si="223"/>
        <v>1.9418232310765927E-2</v>
      </c>
      <c r="I235" s="118">
        <f t="shared" si="223"/>
        <v>1.9918232310765928E-2</v>
      </c>
      <c r="J235" s="118">
        <f t="shared" si="223"/>
        <v>2.0418232310765928E-2</v>
      </c>
      <c r="K235" s="118">
        <f t="shared" si="223"/>
        <v>2.0918232310765929E-2</v>
      </c>
      <c r="L235" s="118">
        <f t="shared" si="223"/>
        <v>2.1418232310765929E-2</v>
      </c>
      <c r="M235" s="118">
        <f>N235-0.0005</f>
        <v>2.191823231076593E-2</v>
      </c>
      <c r="N235" s="78">
        <f t="shared" ref="N235:BJ235" si="224">N227/N$282</f>
        <v>2.241823231076593E-2</v>
      </c>
      <c r="O235" s="78">
        <f t="shared" si="224"/>
        <v>2.3349565687822475E-2</v>
      </c>
      <c r="P235" s="78">
        <f t="shared" si="224"/>
        <v>2.4390223020672185E-2</v>
      </c>
      <c r="Q235" s="78">
        <f t="shared" si="224"/>
        <v>2.4844922521075844E-2</v>
      </c>
      <c r="R235" s="78">
        <f t="shared" si="224"/>
        <v>2.4616442959233632E-2</v>
      </c>
      <c r="S235" s="78">
        <f t="shared" si="224"/>
        <v>2.5099032046795564E-2</v>
      </c>
      <c r="T235" s="78">
        <f t="shared" si="224"/>
        <v>2.5053919145862011E-2</v>
      </c>
      <c r="U235" s="78">
        <f t="shared" si="224"/>
        <v>2.5889857189100175E-2</v>
      </c>
      <c r="V235" s="78">
        <f t="shared" si="224"/>
        <v>2.5931676248688702E-2</v>
      </c>
      <c r="W235" s="78">
        <f t="shared" si="224"/>
        <v>2.5401196162567252E-2</v>
      </c>
      <c r="X235" s="78">
        <f t="shared" si="224"/>
        <v>2.7038716882629665E-2</v>
      </c>
      <c r="Y235" s="78">
        <f t="shared" si="224"/>
        <v>2.8350591346944894E-2</v>
      </c>
      <c r="Z235" s="78">
        <f t="shared" si="224"/>
        <v>2.9768628389497846E-2</v>
      </c>
      <c r="AA235" s="78">
        <f t="shared" si="224"/>
        <v>2.9393831668946747E-2</v>
      </c>
      <c r="AB235" s="78">
        <f t="shared" si="224"/>
        <v>2.9600732346724792E-2</v>
      </c>
      <c r="AC235" s="78">
        <f t="shared" si="224"/>
        <v>3.0290948323030233E-2</v>
      </c>
      <c r="AD235" s="78">
        <f t="shared" si="224"/>
        <v>3.1223984964009903E-2</v>
      </c>
      <c r="AE235" s="78">
        <f t="shared" si="224"/>
        <v>4.2961787860166738E-2</v>
      </c>
      <c r="AF235" s="78">
        <f t="shared" si="224"/>
        <v>4.6502382612025411E-2</v>
      </c>
      <c r="AG235" s="78">
        <f t="shared" si="224"/>
        <v>6.088514751070271E-2</v>
      </c>
      <c r="AH235" s="78">
        <f t="shared" si="224"/>
        <v>9.5049614897403323E-2</v>
      </c>
      <c r="AI235" s="78">
        <f t="shared" si="224"/>
        <v>0.10701241726545906</v>
      </c>
      <c r="AJ235" s="78">
        <f t="shared" si="224"/>
        <v>0.13001841615579851</v>
      </c>
      <c r="AK235" s="78">
        <f t="shared" si="224"/>
        <v>0.15676979273489378</v>
      </c>
      <c r="AL235" s="78">
        <f t="shared" si="224"/>
        <v>0.18757370006807453</v>
      </c>
      <c r="AM235" s="78">
        <f t="shared" si="224"/>
        <v>0.21061031868275473</v>
      </c>
      <c r="AN235" s="78">
        <f t="shared" si="224"/>
        <v>0.22666021777486256</v>
      </c>
      <c r="AO235" s="78">
        <f t="shared" si="224"/>
        <v>0.23788763004086008</v>
      </c>
      <c r="AP235" s="78">
        <f t="shared" si="224"/>
        <v>0.24263711081143</v>
      </c>
      <c r="AQ235" s="78">
        <f t="shared" si="224"/>
        <v>0.25925329097913186</v>
      </c>
      <c r="AR235" s="78">
        <f t="shared" si="224"/>
        <v>0.26846708658275353</v>
      </c>
      <c r="AS235" s="78">
        <f t="shared" si="224"/>
        <v>0.2816110234957836</v>
      </c>
      <c r="AT235" s="78">
        <f t="shared" si="224"/>
        <v>0.29905704657801369</v>
      </c>
      <c r="AU235" s="78">
        <f t="shared" si="224"/>
        <v>0.31099269384881489</v>
      </c>
      <c r="AV235" s="78">
        <f t="shared" si="224"/>
        <v>0.32629137250588247</v>
      </c>
      <c r="AW235" s="78">
        <f t="shared" si="224"/>
        <v>0.34238378472075193</v>
      </c>
      <c r="AX235" s="78">
        <f t="shared" si="224"/>
        <v>0.35978320744032039</v>
      </c>
      <c r="AY235" s="78">
        <f t="shared" si="224"/>
        <v>0.37182100418695591</v>
      </c>
      <c r="AZ235" s="78">
        <f t="shared" si="224"/>
        <v>0.39820598273454233</v>
      </c>
      <c r="BA235" s="78">
        <f t="shared" si="224"/>
        <v>0.41351156365316033</v>
      </c>
      <c r="BB235" s="78">
        <f t="shared" si="224"/>
        <v>0.41459601327560336</v>
      </c>
      <c r="BC235" s="78">
        <f t="shared" si="224"/>
        <v>0.43139441256885108</v>
      </c>
      <c r="BD235" s="78">
        <f t="shared" si="224"/>
        <v>0.4449308856361196</v>
      </c>
      <c r="BE235" s="78">
        <f t="shared" si="224"/>
        <v>0.44921917090705266</v>
      </c>
      <c r="BF235" s="78">
        <f t="shared" si="224"/>
        <v>0.44968350941648877</v>
      </c>
      <c r="BG235" s="78">
        <f t="shared" si="224"/>
        <v>0.44883683070451025</v>
      </c>
      <c r="BH235" s="78">
        <f t="shared" si="224"/>
        <v>0.44915417225859006</v>
      </c>
      <c r="BI235" s="78">
        <f t="shared" si="224"/>
        <v>0.45023129404233231</v>
      </c>
      <c r="BJ235" s="78">
        <f t="shared" si="224"/>
        <v>0.44760223010406064</v>
      </c>
      <c r="BK235" s="65"/>
    </row>
    <row r="236" spans="1:63" s="51" customFormat="1">
      <c r="A236" s="38"/>
      <c r="N236" s="115"/>
      <c r="O236" s="115"/>
      <c r="P236" s="115"/>
      <c r="Q236" s="115"/>
      <c r="R236" s="115"/>
      <c r="S236" s="115"/>
      <c r="T236" s="115"/>
      <c r="U236" s="115"/>
      <c r="V236" s="115"/>
      <c r="W236" s="115"/>
      <c r="X236" s="115"/>
      <c r="Y236" s="115"/>
      <c r="Z236" s="115"/>
      <c r="AA236" s="115"/>
      <c r="AB236" s="115"/>
      <c r="AC236" s="115"/>
      <c r="AD236" s="115"/>
      <c r="AE236" s="115"/>
      <c r="AF236" s="115"/>
      <c r="AG236" s="115"/>
      <c r="AH236" s="115"/>
      <c r="AI236" s="115"/>
      <c r="AJ236" s="115"/>
      <c r="AK236" s="115"/>
      <c r="AL236" s="115"/>
      <c r="AM236" s="115"/>
      <c r="AN236" s="115"/>
      <c r="AO236" s="115"/>
      <c r="AP236" s="115"/>
      <c r="AQ236" s="115"/>
      <c r="AR236" s="115"/>
      <c r="AS236" s="115"/>
      <c r="AT236" s="115"/>
      <c r="AU236" s="115"/>
      <c r="AV236" s="115"/>
      <c r="AW236" s="115"/>
      <c r="AX236" s="115"/>
      <c r="AY236" s="115"/>
      <c r="AZ236" s="115"/>
      <c r="BA236" s="115"/>
      <c r="BB236" s="115"/>
      <c r="BC236" s="119"/>
      <c r="BD236" s="115"/>
      <c r="BE236" s="115"/>
      <c r="BF236" s="115"/>
      <c r="BG236" s="115"/>
      <c r="BH236" s="115"/>
      <c r="BI236" s="115"/>
      <c r="BJ236" s="115"/>
      <c r="BK236" s="65"/>
    </row>
    <row r="237" spans="1:63" s="51" customFormat="1">
      <c r="A237" s="38"/>
      <c r="N237" s="115"/>
      <c r="O237" s="115"/>
      <c r="P237" s="115"/>
      <c r="Q237" s="115"/>
      <c r="R237" s="115"/>
      <c r="S237" s="115"/>
      <c r="T237" s="115"/>
      <c r="U237" s="115"/>
      <c r="V237" s="115"/>
      <c r="W237" s="115"/>
      <c r="X237" s="115"/>
      <c r="Y237" s="115"/>
      <c r="Z237" s="115"/>
      <c r="AA237" s="115"/>
      <c r="AB237" s="115"/>
      <c r="AC237" s="115"/>
      <c r="AD237" s="115"/>
      <c r="AE237" s="115"/>
      <c r="AF237" s="115"/>
      <c r="AG237" s="115"/>
      <c r="AH237" s="115"/>
      <c r="AI237" s="115"/>
      <c r="AJ237" s="115"/>
      <c r="AK237" s="115"/>
      <c r="AL237" s="115"/>
      <c r="AM237" s="115"/>
      <c r="AN237" s="115"/>
      <c r="AO237" s="115"/>
      <c r="AP237" s="115"/>
      <c r="AQ237" s="115"/>
      <c r="AR237" s="115"/>
      <c r="AS237" s="115"/>
      <c r="AT237" s="115"/>
      <c r="AU237" s="115"/>
      <c r="AV237" s="115"/>
      <c r="AW237" s="115"/>
      <c r="AX237" s="115"/>
      <c r="AY237" s="115"/>
      <c r="AZ237" s="115"/>
      <c r="BA237" s="115"/>
      <c r="BB237" s="115"/>
      <c r="BC237" s="119"/>
      <c r="BD237" s="115"/>
      <c r="BE237" s="115"/>
      <c r="BF237" s="115"/>
      <c r="BG237" s="115"/>
      <c r="BH237" s="115"/>
      <c r="BI237" s="115"/>
      <c r="BJ237" s="115"/>
      <c r="BK237" s="65"/>
    </row>
    <row r="238" spans="1:63">
      <c r="A238" s="46" t="s">
        <v>263</v>
      </c>
      <c r="C238" s="38" t="s">
        <v>335</v>
      </c>
      <c r="D238" s="110">
        <f t="shared" ref="D238:M238" si="225">D246*D$281</f>
        <v>1.1163522199652463</v>
      </c>
      <c r="E238" s="110">
        <f t="shared" si="225"/>
        <v>1.1834552000175764</v>
      </c>
      <c r="F238" s="110">
        <f t="shared" si="225"/>
        <v>1.2358207370571883</v>
      </c>
      <c r="G238" s="110">
        <f t="shared" si="225"/>
        <v>1.2951755099812607</v>
      </c>
      <c r="H238" s="110">
        <f t="shared" si="225"/>
        <v>1.4230378400188737</v>
      </c>
      <c r="I238" s="110">
        <f t="shared" si="225"/>
        <v>1.5149554756573282</v>
      </c>
      <c r="J238" s="110">
        <f t="shared" si="225"/>
        <v>1.5852017559024616</v>
      </c>
      <c r="K238" s="110">
        <f t="shared" si="225"/>
        <v>1.6789524641024378</v>
      </c>
      <c r="L238" s="110">
        <f t="shared" si="225"/>
        <v>1.7657841489924047</v>
      </c>
      <c r="M238" s="110">
        <f t="shared" si="225"/>
        <v>1.8101396899691382</v>
      </c>
      <c r="N238" s="111">
        <v>1.780961724292685</v>
      </c>
      <c r="O238" s="111">
        <v>1.8242010619489322</v>
      </c>
      <c r="P238" s="111">
        <v>1.8885089949913523</v>
      </c>
      <c r="Q238" s="111">
        <v>1.9830445512041388</v>
      </c>
      <c r="R238" s="111">
        <v>1.985082546133442</v>
      </c>
      <c r="S238" s="111">
        <v>1.9081819466336563</v>
      </c>
      <c r="T238" s="111">
        <v>1.9534619789908869</v>
      </c>
      <c r="U238" s="111">
        <v>1.977974297989503</v>
      </c>
      <c r="V238" s="111">
        <v>2.0465851207057479</v>
      </c>
      <c r="W238" s="111">
        <v>2.0630160348237321</v>
      </c>
      <c r="X238" s="111">
        <v>2.0440046979915882</v>
      </c>
      <c r="Y238" s="111">
        <v>1.9594057362775841</v>
      </c>
      <c r="Z238" s="111">
        <v>1.9320783264343531</v>
      </c>
      <c r="AA238" s="111">
        <v>1.9349485614491739</v>
      </c>
      <c r="AB238" s="111">
        <v>2.0160522361725111</v>
      </c>
      <c r="AC238" s="111">
        <v>2.0365883590803131</v>
      </c>
      <c r="AD238" s="111">
        <v>2.1473843462467261</v>
      </c>
      <c r="AE238" s="111">
        <v>2.2636382743357073</v>
      </c>
      <c r="AF238" s="111">
        <v>2.3580000676929203</v>
      </c>
      <c r="AG238" s="111">
        <v>2.5976095761350462</v>
      </c>
      <c r="AH238" s="111">
        <v>2.2817871568015358</v>
      </c>
      <c r="AI238" s="111">
        <v>2.2106939081469763</v>
      </c>
      <c r="AJ238" s="111">
        <v>2.0687710142394171</v>
      </c>
      <c r="AK238" s="111">
        <v>1.9464334313285445</v>
      </c>
      <c r="AL238" s="111">
        <v>1.7965594871554418</v>
      </c>
      <c r="AM238" s="111">
        <v>1.5920668886936751</v>
      </c>
      <c r="AN238" s="111">
        <v>1.5092219612428965</v>
      </c>
      <c r="AO238" s="111">
        <v>1.403299863847058</v>
      </c>
      <c r="AP238" s="111">
        <v>1.3147654428385898</v>
      </c>
      <c r="AQ238" s="111">
        <v>1.114096057226313</v>
      </c>
      <c r="AR238" s="111">
        <v>0.96534260957580398</v>
      </c>
      <c r="AS238" s="111">
        <v>0.82288242299427528</v>
      </c>
      <c r="AT238" s="111">
        <v>0.70601157411366944</v>
      </c>
      <c r="AU238" s="111">
        <v>0.60655717727971337</v>
      </c>
      <c r="AV238" s="111">
        <v>0.53849676511394706</v>
      </c>
      <c r="AW238" s="111">
        <v>0.46714339721243969</v>
      </c>
      <c r="AX238" s="111">
        <v>0.46492067377135632</v>
      </c>
      <c r="AY238" s="111">
        <v>0.43016987508957383</v>
      </c>
      <c r="AZ238" s="111">
        <v>0.38759462814285889</v>
      </c>
      <c r="BA238" s="111">
        <v>0.33975898197540166</v>
      </c>
      <c r="BB238" s="111">
        <v>0.30628338326706184</v>
      </c>
      <c r="BC238" s="112">
        <v>0.28166709047877869</v>
      </c>
      <c r="BD238" s="80">
        <v>0.25756372133691235</v>
      </c>
      <c r="BE238" s="80">
        <v>0.24035722613926086</v>
      </c>
      <c r="BF238" s="80">
        <v>0.22780305483362917</v>
      </c>
      <c r="BG238" s="80">
        <v>0.21424534988870131</v>
      </c>
      <c r="BH238" s="80">
        <v>0.20178988232439404</v>
      </c>
      <c r="BI238" s="80">
        <v>0.19011448521269911</v>
      </c>
      <c r="BJ238" s="113">
        <v>0.17955001740664683</v>
      </c>
      <c r="BK238" s="114">
        <f t="array" ref="BK238">TREND(AZ238:BJ238,AZ225:BJ225,BK225)</f>
        <v>0.14150876420548286</v>
      </c>
    </row>
    <row r="239" spans="1:63">
      <c r="A239" s="46" t="s">
        <v>263</v>
      </c>
      <c r="C239" s="38" t="s">
        <v>336</v>
      </c>
      <c r="D239" s="110">
        <f t="shared" ref="D239:M239" si="226">D247*D$282</f>
        <v>0.1144873306493414</v>
      </c>
      <c r="E239" s="110">
        <f t="shared" si="226"/>
        <v>0.12872111288445734</v>
      </c>
      <c r="F239" s="110">
        <f t="shared" si="226"/>
        <v>0.14106169154701603</v>
      </c>
      <c r="G239" s="110">
        <f t="shared" si="226"/>
        <v>0.15676250023387642</v>
      </c>
      <c r="H239" s="110">
        <f t="shared" si="226"/>
        <v>0.17620664812573619</v>
      </c>
      <c r="I239" s="110">
        <f t="shared" si="226"/>
        <v>0.19029352605934158</v>
      </c>
      <c r="J239" s="110">
        <f t="shared" si="226"/>
        <v>0.20421493056972817</v>
      </c>
      <c r="K239" s="110">
        <f t="shared" si="226"/>
        <v>0.22103030023422512</v>
      </c>
      <c r="L239" s="110">
        <f t="shared" si="226"/>
        <v>0.24078556420023273</v>
      </c>
      <c r="M239" s="110">
        <f t="shared" si="226"/>
        <v>0.25697292141914757</v>
      </c>
      <c r="N239" s="111">
        <v>0.25476523818580044</v>
      </c>
      <c r="O239" s="111">
        <v>0.2751959796636495</v>
      </c>
      <c r="P239" s="111">
        <v>0.29681382767421427</v>
      </c>
      <c r="Q239" s="111">
        <v>0.3293829571361177</v>
      </c>
      <c r="R239" s="111">
        <v>0.3410796004379244</v>
      </c>
      <c r="S239" s="111">
        <v>0.32931919244970309</v>
      </c>
      <c r="T239" s="111">
        <v>0.32922287070955469</v>
      </c>
      <c r="U239" s="111">
        <v>0.35637928009854891</v>
      </c>
      <c r="V239" s="111">
        <v>0.37070895192343678</v>
      </c>
      <c r="W239" s="111">
        <v>0.38140316462403212</v>
      </c>
      <c r="X239" s="111">
        <v>0.38429929680572283</v>
      </c>
      <c r="Y239" s="111">
        <v>0.38614208836533132</v>
      </c>
      <c r="Z239" s="111">
        <v>0.40822843538953602</v>
      </c>
      <c r="AA239" s="111">
        <v>0.42602466395932148</v>
      </c>
      <c r="AB239" s="111">
        <v>0.46651569087661626</v>
      </c>
      <c r="AC239" s="111">
        <v>0.50232243075547922</v>
      </c>
      <c r="AD239" s="111">
        <v>0.56632084738064226</v>
      </c>
      <c r="AE239" s="111">
        <v>0.60030389932941364</v>
      </c>
      <c r="AF239" s="111">
        <v>0.77154799692264397</v>
      </c>
      <c r="AG239" s="111">
        <v>1.201810150209637</v>
      </c>
      <c r="AH239" s="111">
        <v>1.3686653267028399</v>
      </c>
      <c r="AI239" s="111">
        <v>1.5642929107011154</v>
      </c>
      <c r="AJ239" s="111">
        <v>1.7501359695857213</v>
      </c>
      <c r="AK239" s="111">
        <v>1.9388172350629256</v>
      </c>
      <c r="AL239" s="111">
        <v>2.2554322449041155</v>
      </c>
      <c r="AM239" s="111">
        <v>2.460961065668668</v>
      </c>
      <c r="AN239" s="111">
        <v>2.7448842498720301</v>
      </c>
      <c r="AO239" s="111">
        <v>3.0312971388494065</v>
      </c>
      <c r="AP239" s="111">
        <v>3.1980326685174232</v>
      </c>
      <c r="AQ239" s="111">
        <v>3.3833597245408544</v>
      </c>
      <c r="AR239" s="111">
        <v>3.5276998858924093</v>
      </c>
      <c r="AS239" s="111">
        <v>3.674704892399002</v>
      </c>
      <c r="AT239" s="111">
        <v>3.8556254329237953</v>
      </c>
      <c r="AU239" s="111">
        <v>4.0882838566438107</v>
      </c>
      <c r="AV239" s="111">
        <v>4.2962843483251607</v>
      </c>
      <c r="AW239" s="111">
        <v>4.50161977718526</v>
      </c>
      <c r="AX239" s="111">
        <v>4.6350340745831042</v>
      </c>
      <c r="AY239" s="111">
        <v>4.8551100096157409</v>
      </c>
      <c r="AZ239" s="111">
        <v>4.6284161153089851</v>
      </c>
      <c r="BA239" s="111">
        <v>4.605416500288162</v>
      </c>
      <c r="BB239" s="111">
        <v>4.7431519040136694</v>
      </c>
      <c r="BC239" s="112">
        <v>4.7980206858079466</v>
      </c>
      <c r="BD239" s="80">
        <v>4.8789052900649832</v>
      </c>
      <c r="BE239" s="80">
        <v>4.9620282759085228</v>
      </c>
      <c r="BF239" s="80">
        <v>5.2006955162332682</v>
      </c>
      <c r="BG239" s="80">
        <v>5.4814380933606053</v>
      </c>
      <c r="BH239" s="80">
        <v>5.8482799912385932</v>
      </c>
      <c r="BI239" s="80">
        <v>5.930679436194235</v>
      </c>
      <c r="BJ239" s="80">
        <v>5.9164029544877135</v>
      </c>
    </row>
    <row r="240" spans="1:63">
      <c r="A240" s="46" t="s">
        <v>263</v>
      </c>
      <c r="C240" s="38" t="s">
        <v>337</v>
      </c>
      <c r="D240" s="80">
        <f>SUM(D238:D239)</f>
        <v>1.2308395506145877</v>
      </c>
      <c r="E240" s="80">
        <f t="shared" ref="E240:M240" si="227">SUM(E238:E239)</f>
        <v>1.3121763129020338</v>
      </c>
      <c r="F240" s="80">
        <f t="shared" si="227"/>
        <v>1.3768824286042043</v>
      </c>
      <c r="G240" s="80">
        <f t="shared" si="227"/>
        <v>1.4519380102151371</v>
      </c>
      <c r="H240" s="80">
        <f t="shared" si="227"/>
        <v>1.59924448814461</v>
      </c>
      <c r="I240" s="80">
        <f t="shared" si="227"/>
        <v>1.7052490017166697</v>
      </c>
      <c r="J240" s="80">
        <f t="shared" si="227"/>
        <v>1.7894166864721899</v>
      </c>
      <c r="K240" s="80">
        <f t="shared" si="227"/>
        <v>1.8999827643366629</v>
      </c>
      <c r="L240" s="80">
        <f t="shared" si="227"/>
        <v>2.0065697131926372</v>
      </c>
      <c r="M240" s="80">
        <f t="shared" si="227"/>
        <v>2.0671126113882856</v>
      </c>
      <c r="N240" s="80">
        <f>N238+N239</f>
        <v>2.0357269624784853</v>
      </c>
      <c r="O240" s="80">
        <f t="shared" ref="O240:BJ240" si="228">O238+O239</f>
        <v>2.0993970416125816</v>
      </c>
      <c r="P240" s="80">
        <f t="shared" si="228"/>
        <v>2.1853228226655665</v>
      </c>
      <c r="Q240" s="80">
        <f t="shared" si="228"/>
        <v>2.3124275083402566</v>
      </c>
      <c r="R240" s="80">
        <f t="shared" si="228"/>
        <v>2.3261621465713667</v>
      </c>
      <c r="S240" s="80">
        <f t="shared" si="228"/>
        <v>2.2375011390833595</v>
      </c>
      <c r="T240" s="80">
        <f t="shared" si="228"/>
        <v>2.2826848497004417</v>
      </c>
      <c r="U240" s="80">
        <f t="shared" si="228"/>
        <v>2.3343535780880518</v>
      </c>
      <c r="V240" s="80">
        <f t="shared" si="228"/>
        <v>2.4172940726291845</v>
      </c>
      <c r="W240" s="80">
        <f t="shared" si="228"/>
        <v>2.444419199447764</v>
      </c>
      <c r="X240" s="80">
        <f t="shared" si="228"/>
        <v>2.4283039947973108</v>
      </c>
      <c r="Y240" s="80">
        <f t="shared" si="228"/>
        <v>2.3455478246429156</v>
      </c>
      <c r="Z240" s="80">
        <f t="shared" si="228"/>
        <v>2.3403067618238893</v>
      </c>
      <c r="AA240" s="80">
        <f t="shared" si="228"/>
        <v>2.3609732254084954</v>
      </c>
      <c r="AB240" s="80">
        <f t="shared" si="228"/>
        <v>2.4825679270491272</v>
      </c>
      <c r="AC240" s="80">
        <f t="shared" si="228"/>
        <v>2.5389107898357923</v>
      </c>
      <c r="AD240" s="80">
        <f t="shared" si="228"/>
        <v>2.7137051936273684</v>
      </c>
      <c r="AE240" s="80">
        <f t="shared" si="228"/>
        <v>2.8639421736651212</v>
      </c>
      <c r="AF240" s="80">
        <f t="shared" si="228"/>
        <v>3.1295480646155642</v>
      </c>
      <c r="AG240" s="80">
        <f t="shared" si="228"/>
        <v>3.7994197263446834</v>
      </c>
      <c r="AH240" s="80">
        <f t="shared" si="228"/>
        <v>3.6504524835043757</v>
      </c>
      <c r="AI240" s="80">
        <f t="shared" si="228"/>
        <v>3.7749868188480917</v>
      </c>
      <c r="AJ240" s="80">
        <f t="shared" si="228"/>
        <v>3.8189069838251384</v>
      </c>
      <c r="AK240" s="80">
        <f t="shared" si="228"/>
        <v>3.8852506663914701</v>
      </c>
      <c r="AL240" s="80">
        <f t="shared" si="228"/>
        <v>4.0519917320595571</v>
      </c>
      <c r="AM240" s="80">
        <f t="shared" si="228"/>
        <v>4.0530279543623431</v>
      </c>
      <c r="AN240" s="80">
        <f t="shared" si="228"/>
        <v>4.2541062111149266</v>
      </c>
      <c r="AO240" s="80">
        <f t="shared" si="228"/>
        <v>4.4345970026964645</v>
      </c>
      <c r="AP240" s="80">
        <f t="shared" si="228"/>
        <v>4.5127981113560125</v>
      </c>
      <c r="AQ240" s="80">
        <f t="shared" si="228"/>
        <v>4.497455781767167</v>
      </c>
      <c r="AR240" s="80">
        <f t="shared" si="228"/>
        <v>4.4930424954682131</v>
      </c>
      <c r="AS240" s="80">
        <f t="shared" si="228"/>
        <v>4.4975873153932771</v>
      </c>
      <c r="AT240" s="80">
        <f t="shared" si="228"/>
        <v>4.561637007037465</v>
      </c>
      <c r="AU240" s="80">
        <f t="shared" si="228"/>
        <v>4.6948410339235238</v>
      </c>
      <c r="AV240" s="80">
        <f t="shared" si="228"/>
        <v>4.8347811134391074</v>
      </c>
      <c r="AW240" s="80">
        <f t="shared" si="228"/>
        <v>4.9687631743976999</v>
      </c>
      <c r="AX240" s="80">
        <f t="shared" si="228"/>
        <v>5.0999547483544605</v>
      </c>
      <c r="AY240" s="80">
        <f t="shared" si="228"/>
        <v>5.2852798847053144</v>
      </c>
      <c r="AZ240" s="80">
        <f t="shared" si="228"/>
        <v>5.0160107434518437</v>
      </c>
      <c r="BA240" s="80">
        <f t="shared" si="228"/>
        <v>4.9451754822635632</v>
      </c>
      <c r="BB240" s="80">
        <f t="shared" si="228"/>
        <v>5.0494352872807315</v>
      </c>
      <c r="BC240" s="80">
        <f t="shared" si="228"/>
        <v>5.0796877762867254</v>
      </c>
      <c r="BD240" s="80">
        <f t="shared" si="228"/>
        <v>5.1364690114018954</v>
      </c>
      <c r="BE240" s="80">
        <f t="shared" si="228"/>
        <v>5.2023855020477834</v>
      </c>
      <c r="BF240" s="80">
        <f t="shared" si="228"/>
        <v>5.4284985710668971</v>
      </c>
      <c r="BG240" s="80">
        <f t="shared" si="228"/>
        <v>5.6956834432493064</v>
      </c>
      <c r="BH240" s="80">
        <f t="shared" si="228"/>
        <v>6.050069873562987</v>
      </c>
      <c r="BI240" s="80">
        <f t="shared" si="228"/>
        <v>6.1207939214069338</v>
      </c>
      <c r="BJ240" s="80">
        <f t="shared" si="228"/>
        <v>6.0959529718943601</v>
      </c>
      <c r="BK240" s="65" t="s">
        <v>327</v>
      </c>
    </row>
    <row r="241" spans="1:63" s="51" customFormat="1">
      <c r="A241" s="38"/>
      <c r="C241" s="51" t="s">
        <v>338</v>
      </c>
      <c r="D241" s="115">
        <f t="shared" ref="D241:AI241" si="229">D129/D240</f>
        <v>12.157311643526784</v>
      </c>
      <c r="E241" s="115">
        <f t="shared" si="229"/>
        <v>12.507313109244713</v>
      </c>
      <c r="F241" s="115">
        <f t="shared" si="229"/>
        <v>12.036394434055165</v>
      </c>
      <c r="G241" s="115">
        <f t="shared" si="229"/>
        <v>12.079096956351007</v>
      </c>
      <c r="H241" s="115">
        <f t="shared" si="229"/>
        <v>11.067100828675537</v>
      </c>
      <c r="I241" s="115">
        <f t="shared" si="229"/>
        <v>11.133975144325927</v>
      </c>
      <c r="J241" s="115">
        <f t="shared" si="229"/>
        <v>10.610273249117302</v>
      </c>
      <c r="K241" s="115">
        <f t="shared" si="229"/>
        <v>9.8234575335825554</v>
      </c>
      <c r="L241" s="115">
        <f t="shared" si="229"/>
        <v>9.3818320271799642</v>
      </c>
      <c r="M241" s="115">
        <f t="shared" si="229"/>
        <v>9.340565140779935</v>
      </c>
      <c r="N241" s="115">
        <f t="shared" si="229"/>
        <v>9.9588011426233987</v>
      </c>
      <c r="O241" s="115">
        <f t="shared" si="229"/>
        <v>10.116619000132593</v>
      </c>
      <c r="P241" s="115">
        <f t="shared" si="229"/>
        <v>10.160604085448682</v>
      </c>
      <c r="Q241" s="115">
        <f t="shared" si="229"/>
        <v>10.089181137939953</v>
      </c>
      <c r="R241" s="115">
        <f t="shared" si="229"/>
        <v>10.16794982880371</v>
      </c>
      <c r="S241" s="115">
        <f t="shared" si="229"/>
        <v>10.498944375788678</v>
      </c>
      <c r="T241" s="115">
        <f t="shared" si="229"/>
        <v>10.573075824797826</v>
      </c>
      <c r="U241" s="115">
        <f t="shared" si="229"/>
        <v>10.476904711252567</v>
      </c>
      <c r="V241" s="115">
        <f t="shared" si="229"/>
        <v>10.450238672254052</v>
      </c>
      <c r="W241" s="115">
        <f t="shared" si="229"/>
        <v>10.268451501964396</v>
      </c>
      <c r="X241" s="115">
        <f t="shared" si="229"/>
        <v>10.734158513862551</v>
      </c>
      <c r="Y241" s="115">
        <f t="shared" si="229"/>
        <v>11.181481666865068</v>
      </c>
      <c r="Z241" s="115">
        <f t="shared" si="229"/>
        <v>11.137770665451541</v>
      </c>
      <c r="AA241" s="115">
        <f t="shared" si="229"/>
        <v>11.040277678494256</v>
      </c>
      <c r="AB241" s="115">
        <f t="shared" si="229"/>
        <v>11.082838741376978</v>
      </c>
      <c r="AC241" s="115">
        <f t="shared" si="229"/>
        <v>11.280506630897554</v>
      </c>
      <c r="AD241" s="115">
        <f t="shared" si="229"/>
        <v>11.02824288735524</v>
      </c>
      <c r="AE241" s="115">
        <f t="shared" si="229"/>
        <v>11.404804294005704</v>
      </c>
      <c r="AF241" s="115">
        <f t="shared" si="229"/>
        <v>11.567964208419065</v>
      </c>
      <c r="AG241" s="115">
        <f t="shared" si="229"/>
        <v>10.460097294445267</v>
      </c>
      <c r="AH241" s="115">
        <f t="shared" si="229"/>
        <v>10.931028462995789</v>
      </c>
      <c r="AI241" s="115">
        <f t="shared" si="229"/>
        <v>11.0392703338541</v>
      </c>
      <c r="AJ241" s="115">
        <f t="shared" ref="AJ241:BJ241" si="230">AJ129/AJ240</f>
        <v>10.785913397330875</v>
      </c>
      <c r="AK241" s="115">
        <f t="shared" si="230"/>
        <v>10.684561580309968</v>
      </c>
      <c r="AL241" s="115">
        <f t="shared" si="230"/>
        <v>10.681685171652722</v>
      </c>
      <c r="AM241" s="115">
        <f t="shared" si="230"/>
        <v>10.99654394241947</v>
      </c>
      <c r="AN241" s="115">
        <f t="shared" si="230"/>
        <v>10.854994611875822</v>
      </c>
      <c r="AO241" s="115">
        <f t="shared" si="230"/>
        <v>10.957433103944659</v>
      </c>
      <c r="AP241" s="115">
        <f t="shared" si="230"/>
        <v>11.266712745703174</v>
      </c>
      <c r="AQ241" s="115">
        <f t="shared" si="230"/>
        <v>11.484026193072612</v>
      </c>
      <c r="AR241" s="115">
        <f t="shared" si="230"/>
        <v>11.602739135581544</v>
      </c>
      <c r="AS241" s="115">
        <f t="shared" si="230"/>
        <v>11.877212437248474</v>
      </c>
      <c r="AT241" s="115">
        <f t="shared" si="230"/>
        <v>11.99262455903491</v>
      </c>
      <c r="AU241" s="115">
        <f t="shared" si="230"/>
        <v>12.234982949357875</v>
      </c>
      <c r="AV241" s="115">
        <f t="shared" si="230"/>
        <v>12.446602770232714</v>
      </c>
      <c r="AW241" s="115">
        <f t="shared" si="230"/>
        <v>12.434804765572165</v>
      </c>
      <c r="AX241" s="115">
        <f t="shared" si="230"/>
        <v>12.588170516751022</v>
      </c>
      <c r="AY241" s="115">
        <f t="shared" si="230"/>
        <v>12.755634795253401</v>
      </c>
      <c r="AZ241" s="115">
        <f t="shared" si="230"/>
        <v>13.344150047401628</v>
      </c>
      <c r="BA241" s="115">
        <f t="shared" si="230"/>
        <v>13.242462322090308</v>
      </c>
      <c r="BB241" s="115">
        <f t="shared" si="230"/>
        <v>13.192089057521684</v>
      </c>
      <c r="BC241" s="115">
        <f t="shared" si="230"/>
        <v>13.303573561247465</v>
      </c>
      <c r="BD241" s="115">
        <f t="shared" si="230"/>
        <v>13.21915889091836</v>
      </c>
      <c r="BE241" s="115">
        <f t="shared" si="230"/>
        <v>13.546516299543674</v>
      </c>
      <c r="BF241" s="115">
        <f t="shared" si="230"/>
        <v>13.812180111758567</v>
      </c>
      <c r="BG241" s="115">
        <f t="shared" si="230"/>
        <v>13.813987519487936</v>
      </c>
      <c r="BH241" s="115">
        <f t="shared" si="230"/>
        <v>13.749477566117891</v>
      </c>
      <c r="BI241" s="115">
        <f t="shared" si="230"/>
        <v>14.037492701641256</v>
      </c>
      <c r="BJ241" s="115">
        <f t="shared" si="230"/>
        <v>14.358640954672516</v>
      </c>
      <c r="BK241" s="65">
        <f>BA241/N241</f>
        <v>1.3297245453986353</v>
      </c>
    </row>
    <row r="242" spans="1:63" s="51" customFormat="1">
      <c r="A242" s="38"/>
      <c r="C242" s="51" t="s">
        <v>339</v>
      </c>
      <c r="D242" s="115">
        <f t="shared" ref="D242:M242" si="231">(D238/(D238+D239*1.25))*(D129/D238)</f>
        <v>11.881031208012727</v>
      </c>
      <c r="E242" s="115">
        <f t="shared" si="231"/>
        <v>12.207921699025327</v>
      </c>
      <c r="F242" s="115">
        <f t="shared" si="231"/>
        <v>11.735810795238189</v>
      </c>
      <c r="G242" s="115">
        <f t="shared" si="231"/>
        <v>11.761627793286891</v>
      </c>
      <c r="H242" s="115">
        <f t="shared" si="231"/>
        <v>10.770426254637018</v>
      </c>
      <c r="I242" s="115">
        <f t="shared" si="231"/>
        <v>10.831787739381227</v>
      </c>
      <c r="J242" s="115">
        <f t="shared" si="231"/>
        <v>10.315949554426153</v>
      </c>
      <c r="K242" s="115">
        <f t="shared" si="231"/>
        <v>9.5458341483344888</v>
      </c>
      <c r="L242" s="115">
        <f t="shared" si="231"/>
        <v>9.1085778702075064</v>
      </c>
      <c r="M242" s="115">
        <f t="shared" si="231"/>
        <v>9.0590222532758613</v>
      </c>
      <c r="N242" s="115">
        <f>(N238/(N238+N239*1.25))*(N$129/N238)</f>
        <v>9.6566750276236544</v>
      </c>
      <c r="O242" s="115">
        <f t="shared" ref="O242:BJ242" si="232">(O238/(O238+O239*1.25))*(O129/O238)</f>
        <v>9.7956087190370074</v>
      </c>
      <c r="P242" s="115">
        <f t="shared" si="232"/>
        <v>9.8269270867196212</v>
      </c>
      <c r="Q242" s="115">
        <f t="shared" si="232"/>
        <v>9.7422584886251027</v>
      </c>
      <c r="R242" s="115">
        <f t="shared" si="232"/>
        <v>9.8084041109744682</v>
      </c>
      <c r="S242" s="115">
        <f t="shared" si="232"/>
        <v>10.126341373995313</v>
      </c>
      <c r="T242" s="115">
        <f t="shared" si="232"/>
        <v>10.205114698093507</v>
      </c>
      <c r="U242" s="115">
        <f t="shared" si="232"/>
        <v>10.091735404412258</v>
      </c>
      <c r="V242" s="115">
        <f t="shared" si="232"/>
        <v>10.06437798440823</v>
      </c>
      <c r="W242" s="115">
        <f t="shared" si="232"/>
        <v>9.8829421927427994</v>
      </c>
      <c r="X242" s="115">
        <f t="shared" si="232"/>
        <v>10.325629340503903</v>
      </c>
      <c r="Y242" s="115">
        <f t="shared" si="232"/>
        <v>10.739477845861595</v>
      </c>
      <c r="Z242" s="115">
        <f t="shared" si="232"/>
        <v>10.672365536113146</v>
      </c>
      <c r="AA242" s="115">
        <f t="shared" si="232"/>
        <v>10.563735644911894</v>
      </c>
      <c r="AB242" s="115">
        <f t="shared" si="232"/>
        <v>10.585539145468289</v>
      </c>
      <c r="AC242" s="115">
        <f t="shared" si="232"/>
        <v>10.748843110023556</v>
      </c>
      <c r="AD242" s="115">
        <f t="shared" si="232"/>
        <v>10.481404045508103</v>
      </c>
      <c r="AE242" s="115">
        <f t="shared" si="232"/>
        <v>10.836928774394663</v>
      </c>
      <c r="AF242" s="115">
        <f t="shared" si="232"/>
        <v>10.896375490959961</v>
      </c>
      <c r="AG242" s="115">
        <f t="shared" si="232"/>
        <v>9.6935459062871772</v>
      </c>
      <c r="AH242" s="115">
        <f t="shared" si="232"/>
        <v>9.9942423374569458</v>
      </c>
      <c r="AI242" s="115">
        <f t="shared" si="232"/>
        <v>10.003000325157752</v>
      </c>
      <c r="AJ242" s="115">
        <f t="shared" si="232"/>
        <v>9.6771928073497246</v>
      </c>
      <c r="AK242" s="115">
        <f t="shared" si="232"/>
        <v>9.4994571422344407</v>
      </c>
      <c r="AL242" s="115">
        <f t="shared" si="232"/>
        <v>9.376843254943001</v>
      </c>
      <c r="AM242" s="115">
        <f t="shared" si="232"/>
        <v>9.5472877504364551</v>
      </c>
      <c r="AN242" s="115">
        <f t="shared" si="232"/>
        <v>9.3472147578007601</v>
      </c>
      <c r="AO242" s="115">
        <f t="shared" si="232"/>
        <v>9.3582160056679164</v>
      </c>
      <c r="AP242" s="115">
        <f t="shared" si="232"/>
        <v>9.571059599089347</v>
      </c>
      <c r="AQ242" s="115">
        <f t="shared" si="232"/>
        <v>9.6661129713042353</v>
      </c>
      <c r="AR242" s="115">
        <f t="shared" si="232"/>
        <v>9.6989610301150453</v>
      </c>
      <c r="AS242" s="115">
        <f t="shared" si="232"/>
        <v>9.8626663234453265</v>
      </c>
      <c r="AT242" s="115">
        <f t="shared" si="232"/>
        <v>9.9005647741111424</v>
      </c>
      <c r="AU242" s="115">
        <f t="shared" si="232"/>
        <v>10.047609621985861</v>
      </c>
      <c r="AV242" s="115">
        <f t="shared" si="232"/>
        <v>10.184143714865673</v>
      </c>
      <c r="AW242" s="115">
        <f t="shared" si="232"/>
        <v>10.138479739420236</v>
      </c>
      <c r="AX242" s="115">
        <f t="shared" si="232"/>
        <v>10.25755570853468</v>
      </c>
      <c r="AY242" s="115">
        <f t="shared" si="232"/>
        <v>10.373365856673379</v>
      </c>
      <c r="AZ242" s="115">
        <f t="shared" si="232"/>
        <v>10.842889281854072</v>
      </c>
      <c r="BA242" s="115">
        <f t="shared" si="232"/>
        <v>10.741570076392984</v>
      </c>
      <c r="BB242" s="115">
        <f t="shared" si="232"/>
        <v>10.68327422888696</v>
      </c>
      <c r="BC242" s="115">
        <f t="shared" si="232"/>
        <v>10.762211093439397</v>
      </c>
      <c r="BD242" s="115">
        <f t="shared" si="232"/>
        <v>10.68245962135097</v>
      </c>
      <c r="BE242" s="115">
        <f t="shared" si="232"/>
        <v>10.938285750244816</v>
      </c>
      <c r="BF242" s="115">
        <f t="shared" si="232"/>
        <v>11.143267941153042</v>
      </c>
      <c r="BG242" s="115">
        <f t="shared" si="232"/>
        <v>11.134959180410453</v>
      </c>
      <c r="BH242" s="115">
        <f t="shared" si="232"/>
        <v>11.073449299979579</v>
      </c>
      <c r="BI242" s="115">
        <f t="shared" si="232"/>
        <v>11.300191923167528</v>
      </c>
      <c r="BJ242" s="115">
        <f t="shared" si="232"/>
        <v>11.554980775711794</v>
      </c>
      <c r="BK242" s="65">
        <f>BA242/N242</f>
        <v>1.112346645782933</v>
      </c>
    </row>
    <row r="243" spans="1:63" s="51" customFormat="1">
      <c r="A243" s="38"/>
      <c r="C243" s="51" t="s">
        <v>340</v>
      </c>
      <c r="D243" s="115">
        <f t="shared" ref="D243:M243" si="233">(D239*1.25/(D238+D239*1.25))*(D129/D239)</f>
        <v>14.851289010015909</v>
      </c>
      <c r="E243" s="115">
        <f t="shared" si="233"/>
        <v>15.259902123781659</v>
      </c>
      <c r="F243" s="115">
        <f t="shared" si="233"/>
        <v>14.669763494047736</v>
      </c>
      <c r="G243" s="115">
        <f t="shared" si="233"/>
        <v>14.702034741608614</v>
      </c>
      <c r="H243" s="115">
        <f t="shared" si="233"/>
        <v>13.463032818296272</v>
      </c>
      <c r="I243" s="115">
        <f t="shared" si="233"/>
        <v>13.539734674226532</v>
      </c>
      <c r="J243" s="115">
        <f t="shared" si="233"/>
        <v>12.894936943032693</v>
      </c>
      <c r="K243" s="115">
        <f t="shared" si="233"/>
        <v>11.932292685418114</v>
      </c>
      <c r="L243" s="115">
        <f t="shared" si="233"/>
        <v>11.385722337759386</v>
      </c>
      <c r="M243" s="115">
        <f t="shared" si="233"/>
        <v>11.323777816594829</v>
      </c>
      <c r="N243" s="115">
        <f>(N239*1.25/(N238+N239*1.25))*(N$129/N239)</f>
        <v>12.070843784529567</v>
      </c>
      <c r="O243" s="115">
        <f t="shared" ref="O243:BJ243" si="234">(O239*1.25/(O238+O239*1.25))*(O129/O239)</f>
        <v>12.244510898796259</v>
      </c>
      <c r="P243" s="115">
        <f t="shared" si="234"/>
        <v>12.283658858399525</v>
      </c>
      <c r="Q243" s="115">
        <f t="shared" si="234"/>
        <v>12.177823110781377</v>
      </c>
      <c r="R243" s="115">
        <f t="shared" si="234"/>
        <v>12.260505138718086</v>
      </c>
      <c r="S243" s="115">
        <f t="shared" si="234"/>
        <v>12.657926717494142</v>
      </c>
      <c r="T243" s="115">
        <f t="shared" si="234"/>
        <v>12.756393372616884</v>
      </c>
      <c r="U243" s="115">
        <f t="shared" si="234"/>
        <v>12.61466925551532</v>
      </c>
      <c r="V243" s="115">
        <f t="shared" si="234"/>
        <v>12.580472480510288</v>
      </c>
      <c r="W243" s="115">
        <f t="shared" si="234"/>
        <v>12.353677740928498</v>
      </c>
      <c r="X243" s="115">
        <f t="shared" si="234"/>
        <v>12.907036675629879</v>
      </c>
      <c r="Y243" s="115">
        <f t="shared" si="234"/>
        <v>13.424347307326993</v>
      </c>
      <c r="Z243" s="115">
        <f t="shared" si="234"/>
        <v>13.340456920141433</v>
      </c>
      <c r="AA243" s="115">
        <f t="shared" si="234"/>
        <v>13.204669556139867</v>
      </c>
      <c r="AB243" s="115">
        <f t="shared" si="234"/>
        <v>13.231923931835361</v>
      </c>
      <c r="AC243" s="115">
        <f t="shared" si="234"/>
        <v>13.436053887529447</v>
      </c>
      <c r="AD243" s="115">
        <f t="shared" si="234"/>
        <v>13.101755056885127</v>
      </c>
      <c r="AE243" s="115">
        <f t="shared" si="234"/>
        <v>13.546160967993327</v>
      </c>
      <c r="AF243" s="115">
        <f t="shared" si="234"/>
        <v>13.620469363699952</v>
      </c>
      <c r="AG243" s="115">
        <f t="shared" si="234"/>
        <v>12.11693238285897</v>
      </c>
      <c r="AH243" s="115">
        <f t="shared" si="234"/>
        <v>12.49280292182118</v>
      </c>
      <c r="AI243" s="115">
        <f t="shared" si="234"/>
        <v>12.503750406447189</v>
      </c>
      <c r="AJ243" s="115">
        <f t="shared" si="234"/>
        <v>12.096491009187154</v>
      </c>
      <c r="AK243" s="115">
        <f t="shared" si="234"/>
        <v>11.874321427793049</v>
      </c>
      <c r="AL243" s="115">
        <f t="shared" si="234"/>
        <v>11.721054068678752</v>
      </c>
      <c r="AM243" s="115">
        <f t="shared" si="234"/>
        <v>11.93410968804557</v>
      </c>
      <c r="AN243" s="115">
        <f t="shared" si="234"/>
        <v>11.684018447250951</v>
      </c>
      <c r="AO243" s="115">
        <f t="shared" si="234"/>
        <v>11.697770007084898</v>
      </c>
      <c r="AP243" s="115">
        <f t="shared" si="234"/>
        <v>11.963824498861683</v>
      </c>
      <c r="AQ243" s="115">
        <f t="shared" si="234"/>
        <v>12.082641214130293</v>
      </c>
      <c r="AR243" s="115">
        <f t="shared" si="234"/>
        <v>12.123701287643808</v>
      </c>
      <c r="AS243" s="115">
        <f t="shared" si="234"/>
        <v>12.328332904306659</v>
      </c>
      <c r="AT243" s="115">
        <f t="shared" si="234"/>
        <v>12.375705967638931</v>
      </c>
      <c r="AU243" s="115">
        <f t="shared" si="234"/>
        <v>12.559512027482327</v>
      </c>
      <c r="AV243" s="115">
        <f t="shared" si="234"/>
        <v>12.73017964358209</v>
      </c>
      <c r="AW243" s="115">
        <f t="shared" si="234"/>
        <v>12.673099674275292</v>
      </c>
      <c r="AX243" s="115">
        <f t="shared" si="234"/>
        <v>12.821944635668347</v>
      </c>
      <c r="AY243" s="115">
        <f t="shared" si="234"/>
        <v>12.966707320841723</v>
      </c>
      <c r="AZ243" s="115">
        <f t="shared" si="234"/>
        <v>13.553611602317591</v>
      </c>
      <c r="BA243" s="115">
        <f t="shared" si="234"/>
        <v>13.426962595491229</v>
      </c>
      <c r="BB243" s="115">
        <f t="shared" si="234"/>
        <v>13.3540927861087</v>
      </c>
      <c r="BC243" s="115">
        <f t="shared" si="234"/>
        <v>13.452763866799247</v>
      </c>
      <c r="BD243" s="115">
        <f t="shared" si="234"/>
        <v>13.353074526688713</v>
      </c>
      <c r="BE243" s="115">
        <f t="shared" si="234"/>
        <v>13.672857187806018</v>
      </c>
      <c r="BF243" s="115">
        <f t="shared" si="234"/>
        <v>13.929084926441304</v>
      </c>
      <c r="BG243" s="115">
        <f t="shared" si="234"/>
        <v>13.918698975513067</v>
      </c>
      <c r="BH243" s="115">
        <f t="shared" si="234"/>
        <v>13.841811624974474</v>
      </c>
      <c r="BI243" s="115">
        <f t="shared" si="234"/>
        <v>14.125239903959411</v>
      </c>
      <c r="BJ243" s="115">
        <f t="shared" si="234"/>
        <v>14.44372596963974</v>
      </c>
      <c r="BK243" s="65">
        <f>BA243/N243</f>
        <v>1.1123466457829332</v>
      </c>
    </row>
    <row r="244" spans="1:63" s="51" customFormat="1">
      <c r="A244" s="38"/>
      <c r="B244" s="116">
        <f>(N244/X244)^(1/10)</f>
        <v>0.99332441129095328</v>
      </c>
      <c r="C244" s="51" t="s">
        <v>341</v>
      </c>
      <c r="D244" s="117">
        <f t="shared" ref="D244:L245" si="235">E244*$B244</f>
        <v>13.198187025887085</v>
      </c>
      <c r="E244" s="117">
        <f t="shared" si="235"/>
        <v>13.286884804063495</v>
      </c>
      <c r="F244" s="117">
        <f t="shared" si="235"/>
        <v>13.376178671372299</v>
      </c>
      <c r="G244" s="117">
        <f t="shared" si="235"/>
        <v>13.466072633801708</v>
      </c>
      <c r="H244" s="117">
        <f t="shared" si="235"/>
        <v>13.556570724261984</v>
      </c>
      <c r="I244" s="117">
        <f t="shared" si="235"/>
        <v>13.647677002766368</v>
      </c>
      <c r="J244" s="117">
        <f t="shared" si="235"/>
        <v>13.739395556613223</v>
      </c>
      <c r="K244" s="117">
        <f t="shared" si="235"/>
        <v>13.831730500569401</v>
      </c>
      <c r="L244" s="117">
        <f t="shared" si="235"/>
        <v>13.92468597705485</v>
      </c>
      <c r="M244" s="117">
        <f>N244*$B244</f>
        <v>14.018266156328448</v>
      </c>
      <c r="N244" s="113">
        <f t="shared" ref="N244:AS244" si="236">(N121*(N238*N242/(N$238*N$242+N$239*N$243))*1000000000/1.609)/(N238*1000000*$N$5)</f>
        <v>14.112475236675097</v>
      </c>
      <c r="O244" s="113">
        <f t="shared" si="236"/>
        <v>14.315515959698503</v>
      </c>
      <c r="P244" s="113">
        <f t="shared" si="236"/>
        <v>14.361285304437729</v>
      </c>
      <c r="Q244" s="113">
        <f t="shared" si="236"/>
        <v>14.237548770846731</v>
      </c>
      <c r="R244" s="113">
        <f t="shared" si="236"/>
        <v>14.334215424197868</v>
      </c>
      <c r="S244" s="113">
        <f t="shared" si="236"/>
        <v>14.798855866002407</v>
      </c>
      <c r="T244" s="113">
        <f t="shared" si="236"/>
        <v>14.913976917758454</v>
      </c>
      <c r="U244" s="113">
        <f t="shared" si="236"/>
        <v>14.748281948232068</v>
      </c>
      <c r="V244" s="113">
        <f t="shared" si="236"/>
        <v>14.708301218711632</v>
      </c>
      <c r="W244" s="113">
        <f t="shared" si="236"/>
        <v>14.443147000556786</v>
      </c>
      <c r="X244" s="113">
        <f t="shared" si="236"/>
        <v>15.090099641346885</v>
      </c>
      <c r="Y244" s="113">
        <f t="shared" si="236"/>
        <v>15.694906861936628</v>
      </c>
      <c r="Z244" s="113">
        <f t="shared" si="236"/>
        <v>15.59682747056312</v>
      </c>
      <c r="AA244" s="113">
        <f t="shared" si="236"/>
        <v>15.438073381277212</v>
      </c>
      <c r="AB244" s="113">
        <f t="shared" si="236"/>
        <v>15.469937491935877</v>
      </c>
      <c r="AC244" s="113">
        <f t="shared" si="236"/>
        <v>15.708593462986421</v>
      </c>
      <c r="AD244" s="113">
        <f t="shared" si="236"/>
        <v>15.31775218847967</v>
      </c>
      <c r="AE244" s="113">
        <f t="shared" si="236"/>
        <v>15.837323771667965</v>
      </c>
      <c r="AF244" s="113">
        <f t="shared" si="236"/>
        <v>15.924200498184033</v>
      </c>
      <c r="AG244" s="113">
        <f t="shared" si="236"/>
        <v>14.166359141912137</v>
      </c>
      <c r="AH244" s="113">
        <f t="shared" si="236"/>
        <v>14.605803456492563</v>
      </c>
      <c r="AI244" s="113">
        <f t="shared" si="236"/>
        <v>14.618602570493724</v>
      </c>
      <c r="AJ244" s="113">
        <f t="shared" si="236"/>
        <v>14.142460366905471</v>
      </c>
      <c r="AK244" s="113">
        <f t="shared" si="236"/>
        <v>13.882713594290852</v>
      </c>
      <c r="AL244" s="113">
        <f t="shared" si="236"/>
        <v>13.703522988505425</v>
      </c>
      <c r="AM244" s="113">
        <f t="shared" si="236"/>
        <v>13.952614287011185</v>
      </c>
      <c r="AN244" s="113">
        <f t="shared" si="236"/>
        <v>13.66022325738434</v>
      </c>
      <c r="AO244" s="113">
        <f t="shared" si="236"/>
        <v>13.676300720657535</v>
      </c>
      <c r="AP244" s="113">
        <f t="shared" si="236"/>
        <v>13.987354984454594</v>
      </c>
      <c r="AQ244" s="113">
        <f t="shared" si="236"/>
        <v>14.126268053156576</v>
      </c>
      <c r="AR244" s="113">
        <f t="shared" si="236"/>
        <v>14.174272921831802</v>
      </c>
      <c r="AS244" s="113">
        <f t="shared" si="236"/>
        <v>14.413515403496298</v>
      </c>
      <c r="AT244" s="113">
        <f t="shared" ref="AT244:BJ244" si="237">(AT121*(AT238*AT242/(AT$238*AT$242+AT$239*AT$243))*1000000000/1.609)/(AT238*1000000*$N$5)</f>
        <v>14.468901024841088</v>
      </c>
      <c r="AU244" s="113">
        <f t="shared" si="237"/>
        <v>14.68379556860242</v>
      </c>
      <c r="AV244" s="113">
        <f t="shared" si="237"/>
        <v>14.883329466058466</v>
      </c>
      <c r="AW244" s="113">
        <f t="shared" si="237"/>
        <v>14.816595137644356</v>
      </c>
      <c r="AX244" s="113">
        <f t="shared" si="237"/>
        <v>14.990615352739463</v>
      </c>
      <c r="AY244" s="113">
        <f t="shared" si="237"/>
        <v>15.159862825921262</v>
      </c>
      <c r="AZ244" s="113">
        <f t="shared" si="237"/>
        <v>15.846034587106846</v>
      </c>
      <c r="BA244" s="113">
        <f t="shared" si="237"/>
        <v>15.69796449321025</v>
      </c>
      <c r="BB244" s="113">
        <f t="shared" si="237"/>
        <v>15.612769671806783</v>
      </c>
      <c r="BC244" s="113">
        <f t="shared" si="237"/>
        <v>15.728129725145047</v>
      </c>
      <c r="BD244" s="113">
        <f t="shared" si="237"/>
        <v>15.611579186609092</v>
      </c>
      <c r="BE244" s="113">
        <f t="shared" si="237"/>
        <v>15.985449064033896</v>
      </c>
      <c r="BF244" s="113">
        <f t="shared" si="237"/>
        <v>16.28501450295326</v>
      </c>
      <c r="BG244" s="113">
        <f t="shared" si="237"/>
        <v>16.272871899014341</v>
      </c>
      <c r="BH244" s="113">
        <f t="shared" si="237"/>
        <v>16.182980019883235</v>
      </c>
      <c r="BI244" s="113">
        <f t="shared" si="237"/>
        <v>16.514346628543581</v>
      </c>
      <c r="BJ244" s="113">
        <f t="shared" si="237"/>
        <v>16.886700607716126</v>
      </c>
      <c r="BK244" s="65"/>
    </row>
    <row r="245" spans="1:63" s="51" customFormat="1">
      <c r="A245" s="38"/>
      <c r="B245" s="116">
        <f>(N245/X245)^(1/10)</f>
        <v>0.99332441129095328</v>
      </c>
      <c r="C245" s="51" t="s">
        <v>342</v>
      </c>
      <c r="D245" s="117">
        <f t="shared" si="235"/>
        <v>16.49773378235885</v>
      </c>
      <c r="E245" s="117">
        <f t="shared" si="235"/>
        <v>16.608606005079363</v>
      </c>
      <c r="F245" s="117">
        <f t="shared" si="235"/>
        <v>16.720223339215369</v>
      </c>
      <c r="G245" s="117">
        <f t="shared" si="235"/>
        <v>16.83259079225213</v>
      </c>
      <c r="H245" s="117">
        <f t="shared" si="235"/>
        <v>16.945713405327474</v>
      </c>
      <c r="I245" s="117">
        <f t="shared" si="235"/>
        <v>17.059596253457954</v>
      </c>
      <c r="J245" s="117">
        <f t="shared" si="235"/>
        <v>17.174244445766522</v>
      </c>
      <c r="K245" s="117">
        <f t="shared" si="235"/>
        <v>17.289663125711744</v>
      </c>
      <c r="L245" s="117">
        <f t="shared" si="235"/>
        <v>17.405857471318555</v>
      </c>
      <c r="M245" s="117">
        <f>N245*$B245</f>
        <v>17.522832695410553</v>
      </c>
      <c r="N245" s="113">
        <f t="shared" ref="N245:AS245" si="238">(N$121*(N239*N243/(N$238*N$242+N$239*N$243))*1000000000/1.609)/(N239*1000000*$N$5)</f>
        <v>17.640594045843866</v>
      </c>
      <c r="O245" s="113">
        <f t="shared" si="238"/>
        <v>17.894394949623134</v>
      </c>
      <c r="P245" s="113">
        <f t="shared" si="238"/>
        <v>17.951606630547165</v>
      </c>
      <c r="Q245" s="113">
        <f t="shared" si="238"/>
        <v>17.796935963558415</v>
      </c>
      <c r="R245" s="113">
        <f t="shared" si="238"/>
        <v>17.917769280247338</v>
      </c>
      <c r="S245" s="113">
        <f t="shared" si="238"/>
        <v>18.498569832503012</v>
      </c>
      <c r="T245" s="113">
        <f t="shared" si="238"/>
        <v>18.642471147198066</v>
      </c>
      <c r="U245" s="113">
        <f t="shared" si="238"/>
        <v>18.435352435290078</v>
      </c>
      <c r="V245" s="113">
        <f t="shared" si="238"/>
        <v>18.385376523389539</v>
      </c>
      <c r="W245" s="113">
        <f t="shared" si="238"/>
        <v>18.053933750695982</v>
      </c>
      <c r="X245" s="113">
        <f t="shared" si="238"/>
        <v>18.862624551683606</v>
      </c>
      <c r="Y245" s="113">
        <f t="shared" si="238"/>
        <v>19.618633577420788</v>
      </c>
      <c r="Z245" s="113">
        <f t="shared" si="238"/>
        <v>19.496034338203906</v>
      </c>
      <c r="AA245" s="113">
        <f t="shared" si="238"/>
        <v>19.297591726596512</v>
      </c>
      <c r="AB245" s="113">
        <f t="shared" si="238"/>
        <v>19.337421864919847</v>
      </c>
      <c r="AC245" s="113">
        <f t="shared" si="238"/>
        <v>19.635741828733028</v>
      </c>
      <c r="AD245" s="113">
        <f t="shared" si="238"/>
        <v>19.147190235599584</v>
      </c>
      <c r="AE245" s="113">
        <f t="shared" si="238"/>
        <v>19.79665471458495</v>
      </c>
      <c r="AF245" s="113">
        <f t="shared" si="238"/>
        <v>19.905250622730037</v>
      </c>
      <c r="AG245" s="113">
        <f t="shared" si="238"/>
        <v>17.707948927390181</v>
      </c>
      <c r="AH245" s="113">
        <f t="shared" si="238"/>
        <v>18.257254320615697</v>
      </c>
      <c r="AI245" s="113">
        <f t="shared" si="238"/>
        <v>18.273253213117158</v>
      </c>
      <c r="AJ245" s="113">
        <f t="shared" si="238"/>
        <v>17.678075458631842</v>
      </c>
      <c r="AK245" s="113">
        <f t="shared" si="238"/>
        <v>17.353391992863564</v>
      </c>
      <c r="AL245" s="113">
        <f t="shared" si="238"/>
        <v>17.129403735631783</v>
      </c>
      <c r="AM245" s="113">
        <f t="shared" si="238"/>
        <v>17.440767858763987</v>
      </c>
      <c r="AN245" s="113">
        <f t="shared" si="238"/>
        <v>17.075279071730428</v>
      </c>
      <c r="AO245" s="113">
        <f t="shared" si="238"/>
        <v>17.095375900821924</v>
      </c>
      <c r="AP245" s="113">
        <f t="shared" si="238"/>
        <v>17.484193730568236</v>
      </c>
      <c r="AQ245" s="113">
        <f t="shared" si="238"/>
        <v>17.65783506644572</v>
      </c>
      <c r="AR245" s="113">
        <f t="shared" si="238"/>
        <v>17.717841152289754</v>
      </c>
      <c r="AS245" s="113">
        <f t="shared" si="238"/>
        <v>18.016894254370371</v>
      </c>
      <c r="AT245" s="113">
        <f t="shared" ref="AT245:BJ245" si="239">(AT$121*(AT239*AT243/(AT$238*AT$242+AT$239*AT$243))*1000000000/1.609)/(AT239*1000000*$N$5)</f>
        <v>18.086126281051371</v>
      </c>
      <c r="AU245" s="113">
        <f t="shared" si="239"/>
        <v>18.354744460753025</v>
      </c>
      <c r="AV245" s="113">
        <f t="shared" si="239"/>
        <v>18.604161832573084</v>
      </c>
      <c r="AW245" s="113">
        <f t="shared" si="239"/>
        <v>18.520743922055434</v>
      </c>
      <c r="AX245" s="113">
        <f t="shared" si="239"/>
        <v>18.738269190924321</v>
      </c>
      <c r="AY245" s="113">
        <f t="shared" si="239"/>
        <v>18.949828532401575</v>
      </c>
      <c r="AZ245" s="113">
        <f t="shared" si="239"/>
        <v>19.807543233883564</v>
      </c>
      <c r="BA245" s="113">
        <f t="shared" si="239"/>
        <v>19.622455616512809</v>
      </c>
      <c r="BB245" s="113">
        <f t="shared" si="239"/>
        <v>19.515962089758471</v>
      </c>
      <c r="BC245" s="113">
        <f t="shared" si="239"/>
        <v>19.660162156431308</v>
      </c>
      <c r="BD245" s="113">
        <f t="shared" si="239"/>
        <v>19.514473983261365</v>
      </c>
      <c r="BE245" s="113">
        <f t="shared" si="239"/>
        <v>19.981811330042369</v>
      </c>
      <c r="BF245" s="113">
        <f t="shared" si="239"/>
        <v>20.356268128691578</v>
      </c>
      <c r="BG245" s="113">
        <f t="shared" si="239"/>
        <v>20.341089873767928</v>
      </c>
      <c r="BH245" s="113">
        <f t="shared" si="239"/>
        <v>20.228725024854047</v>
      </c>
      <c r="BI245" s="113">
        <f t="shared" si="239"/>
        <v>20.642933285679476</v>
      </c>
      <c r="BJ245" s="113">
        <f t="shared" si="239"/>
        <v>21.108375759645153</v>
      </c>
      <c r="BK245" s="65"/>
    </row>
    <row r="246" spans="1:63" s="51" customFormat="1">
      <c r="A246" s="38"/>
      <c r="C246" s="51" t="s">
        <v>333</v>
      </c>
      <c r="D246" s="118">
        <f t="shared" ref="D246:L246" si="240">E246+0.001</f>
        <v>0.13711887452143248</v>
      </c>
      <c r="E246" s="118">
        <f t="shared" si="240"/>
        <v>0.13611887452143248</v>
      </c>
      <c r="F246" s="118">
        <f t="shared" si="240"/>
        <v>0.13511887452143248</v>
      </c>
      <c r="G246" s="118">
        <f t="shared" si="240"/>
        <v>0.13411887452143248</v>
      </c>
      <c r="H246" s="118">
        <f t="shared" si="240"/>
        <v>0.13311887452143248</v>
      </c>
      <c r="I246" s="118">
        <f t="shared" si="240"/>
        <v>0.13211887452143248</v>
      </c>
      <c r="J246" s="118">
        <f t="shared" si="240"/>
        <v>0.13111887452143248</v>
      </c>
      <c r="K246" s="118">
        <f t="shared" si="240"/>
        <v>0.13011887452143248</v>
      </c>
      <c r="L246" s="118">
        <f t="shared" si="240"/>
        <v>0.12911887452143248</v>
      </c>
      <c r="M246" s="118">
        <f>N246+0.001</f>
        <v>0.12811887452143247</v>
      </c>
      <c r="N246" s="78">
        <f t="shared" ref="N246:BJ246" si="241">N238/N$281</f>
        <v>0.12711887452143247</v>
      </c>
      <c r="O246" s="78">
        <f t="shared" si="241"/>
        <v>0.12376750508196833</v>
      </c>
      <c r="P246" s="78">
        <f t="shared" si="241"/>
        <v>0.12051892423573635</v>
      </c>
      <c r="Q246" s="78">
        <f t="shared" si="241"/>
        <v>0.11885731038286788</v>
      </c>
      <c r="R246" s="78">
        <f t="shared" si="241"/>
        <v>0.12221824334822075</v>
      </c>
      <c r="S246" s="78">
        <f t="shared" si="241"/>
        <v>0.12007222631481326</v>
      </c>
      <c r="T246" s="78">
        <f t="shared" si="241"/>
        <v>0.11737753687052321</v>
      </c>
      <c r="U246" s="78">
        <f t="shared" si="241"/>
        <v>0.11569923565959249</v>
      </c>
      <c r="V246" s="78">
        <f t="shared" si="241"/>
        <v>0.11303555352087326</v>
      </c>
      <c r="W246" s="78">
        <f t="shared" si="241"/>
        <v>0.11186468316826041</v>
      </c>
      <c r="X246" s="78">
        <f t="shared" si="241"/>
        <v>0.10807384417273282</v>
      </c>
      <c r="Y246" s="78">
        <f t="shared" si="241"/>
        <v>0.10595713087851166</v>
      </c>
      <c r="Z246" s="78">
        <f t="shared" si="241"/>
        <v>0.10158199804262996</v>
      </c>
      <c r="AA246" s="78">
        <f t="shared" si="241"/>
        <v>0.10007822699058916</v>
      </c>
      <c r="AB246" s="78">
        <f t="shared" si="241"/>
        <v>0.10086473199289615</v>
      </c>
      <c r="AC246" s="78">
        <f t="shared" si="241"/>
        <v>0.10102639745088747</v>
      </c>
      <c r="AD246" s="78">
        <f t="shared" si="241"/>
        <v>0.1011861837414557</v>
      </c>
      <c r="AE246" s="78">
        <f t="shared" si="241"/>
        <v>0.1032320060472741</v>
      </c>
      <c r="AF246" s="78">
        <f t="shared" si="241"/>
        <v>0.10260947612688107</v>
      </c>
      <c r="AG246" s="78">
        <f t="shared" si="241"/>
        <v>0.10984810408412049</v>
      </c>
      <c r="AH246" s="78">
        <f t="shared" si="241"/>
        <v>9.4942650205223758E-2</v>
      </c>
      <c r="AI246" s="78">
        <f t="shared" si="241"/>
        <v>9.3089373541429571E-2</v>
      </c>
      <c r="AJ246" s="78">
        <f t="shared" si="241"/>
        <v>8.704053981605557E-2</v>
      </c>
      <c r="AK246" s="78">
        <f t="shared" si="241"/>
        <v>8.2882213186865034E-2</v>
      </c>
      <c r="AL246" s="78">
        <f t="shared" si="241"/>
        <v>7.9667742936146341E-2</v>
      </c>
      <c r="AM246" s="78">
        <f t="shared" si="241"/>
        <v>7.3520595788542142E-2</v>
      </c>
      <c r="AN246" s="78">
        <f t="shared" si="241"/>
        <v>6.8267271146158007E-2</v>
      </c>
      <c r="AO246" s="78">
        <f t="shared" si="241"/>
        <v>6.3941363015874358E-2</v>
      </c>
      <c r="AP246" s="78">
        <f t="shared" si="241"/>
        <v>6.1036190102863909E-2</v>
      </c>
      <c r="AQ246" s="78">
        <f t="shared" si="241"/>
        <v>5.1874957677098182E-2</v>
      </c>
      <c r="AR246" s="78">
        <f t="shared" si="241"/>
        <v>4.5774027228395874E-2</v>
      </c>
      <c r="AS246" s="78">
        <f t="shared" si="241"/>
        <v>3.990117525925628E-2</v>
      </c>
      <c r="AT246" s="78">
        <f t="shared" si="241"/>
        <v>3.4462125674103353E-2</v>
      </c>
      <c r="AU246" s="78">
        <f t="shared" si="241"/>
        <v>3.0959667094298076E-2</v>
      </c>
      <c r="AV246" s="78">
        <f t="shared" si="241"/>
        <v>2.8138215292691639E-2</v>
      </c>
      <c r="AW246" s="78">
        <f t="shared" si="241"/>
        <v>2.5243883100493178E-2</v>
      </c>
      <c r="AX246" s="78">
        <f t="shared" si="241"/>
        <v>2.6215052543717896E-2</v>
      </c>
      <c r="AY246" s="78">
        <f t="shared" si="241"/>
        <v>2.4940839873471385E-2</v>
      </c>
      <c r="AZ246" s="78">
        <f t="shared" si="241"/>
        <v>2.3955530219996784E-2</v>
      </c>
      <c r="BA246" s="78">
        <f t="shared" si="241"/>
        <v>2.2254696362633272E-2</v>
      </c>
      <c r="BB246" s="78">
        <f t="shared" si="241"/>
        <v>2.1514869753916359E-2</v>
      </c>
      <c r="BC246" s="78">
        <f t="shared" si="241"/>
        <v>2.0826006432458046E-2</v>
      </c>
      <c r="BD246" s="78">
        <f t="shared" si="241"/>
        <v>2.0004437457263238E-2</v>
      </c>
      <c r="BE246" s="78">
        <f t="shared" si="241"/>
        <v>1.9677702040829546E-2</v>
      </c>
      <c r="BF246" s="78">
        <f t="shared" si="241"/>
        <v>1.9069081783133917E-2</v>
      </c>
      <c r="BG246" s="78">
        <f t="shared" si="241"/>
        <v>1.8337106645737466E-2</v>
      </c>
      <c r="BH246" s="78">
        <f t="shared" si="241"/>
        <v>1.7496559898707582E-2</v>
      </c>
      <c r="BI246" s="78">
        <f t="shared" si="241"/>
        <v>1.6738365778232421E-2</v>
      </c>
      <c r="BJ246" s="78">
        <f t="shared" si="241"/>
        <v>1.6109655820553029E-2</v>
      </c>
      <c r="BK246" s="65"/>
    </row>
    <row r="247" spans="1:63" s="51" customFormat="1">
      <c r="A247" s="38"/>
      <c r="C247" s="51" t="s">
        <v>334</v>
      </c>
      <c r="D247" s="118">
        <f t="shared" ref="D247:M247" si="242">0.18-D246</f>
        <v>4.2881125478567511E-2</v>
      </c>
      <c r="E247" s="118">
        <f t="shared" si="242"/>
        <v>4.3881125478567512E-2</v>
      </c>
      <c r="F247" s="118">
        <f t="shared" si="242"/>
        <v>4.4881125478567513E-2</v>
      </c>
      <c r="G247" s="118">
        <f t="shared" si="242"/>
        <v>4.5881125478567514E-2</v>
      </c>
      <c r="H247" s="118">
        <f t="shared" si="242"/>
        <v>4.6881125478567515E-2</v>
      </c>
      <c r="I247" s="118">
        <f t="shared" si="242"/>
        <v>4.7881125478567516E-2</v>
      </c>
      <c r="J247" s="118">
        <f t="shared" si="242"/>
        <v>4.8881125478567516E-2</v>
      </c>
      <c r="K247" s="118">
        <f t="shared" si="242"/>
        <v>4.9881125478567517E-2</v>
      </c>
      <c r="L247" s="118">
        <f t="shared" si="242"/>
        <v>5.0881125478567518E-2</v>
      </c>
      <c r="M247" s="118">
        <f t="shared" si="242"/>
        <v>5.1881125478567519E-2</v>
      </c>
      <c r="N247" s="78">
        <f t="shared" ref="N247:BJ247" si="243">N239/N$282</f>
        <v>5.3017391847265873E-2</v>
      </c>
      <c r="O247" s="78">
        <f t="shared" si="243"/>
        <v>5.550291014908925E-2</v>
      </c>
      <c r="P247" s="78">
        <f t="shared" si="243"/>
        <v>5.91128004999888E-2</v>
      </c>
      <c r="Q247" s="78">
        <f t="shared" si="243"/>
        <v>6.0944943945290264E-2</v>
      </c>
      <c r="R247" s="78">
        <f t="shared" si="243"/>
        <v>6.4760461912404949E-2</v>
      </c>
      <c r="S247" s="78">
        <f t="shared" si="243"/>
        <v>6.3598300561364438E-2</v>
      </c>
      <c r="T247" s="78">
        <f t="shared" si="243"/>
        <v>6.1495772388800829E-2</v>
      </c>
      <c r="U247" s="78">
        <f t="shared" si="243"/>
        <v>6.5204757268092176E-2</v>
      </c>
      <c r="V247" s="78">
        <f t="shared" si="243"/>
        <v>6.5873856717783064E-2</v>
      </c>
      <c r="W247" s="78">
        <f t="shared" si="243"/>
        <v>6.5652513984876384E-2</v>
      </c>
      <c r="X247" s="78">
        <f t="shared" si="243"/>
        <v>6.8318588836621105E-2</v>
      </c>
      <c r="Y247" s="78">
        <f t="shared" si="243"/>
        <v>7.2419160556797035E-2</v>
      </c>
      <c r="Z247" s="78">
        <f t="shared" si="243"/>
        <v>7.4048747582575083E-2</v>
      </c>
      <c r="AA247" s="78">
        <f t="shared" si="243"/>
        <v>7.1486835523960887E-2</v>
      </c>
      <c r="AB247" s="78">
        <f t="shared" si="243"/>
        <v>7.1519876476662803E-2</v>
      </c>
      <c r="AC247" s="78">
        <f t="shared" si="243"/>
        <v>7.3152037248034527E-2</v>
      </c>
      <c r="AD247" s="78">
        <f t="shared" si="243"/>
        <v>7.4294780575275846E-2</v>
      </c>
      <c r="AE247" s="78">
        <f t="shared" si="243"/>
        <v>7.3081411631714097E-2</v>
      </c>
      <c r="AF247" s="78">
        <f t="shared" si="243"/>
        <v>8.4808387607961888E-2</v>
      </c>
      <c r="AG247" s="78">
        <f t="shared" si="243"/>
        <v>0.12220191127635543</v>
      </c>
      <c r="AH247" s="78">
        <f t="shared" si="243"/>
        <v>0.13201462919078999</v>
      </c>
      <c r="AI247" s="78">
        <f t="shared" si="243"/>
        <v>0.15011607492967566</v>
      </c>
      <c r="AJ247" s="78">
        <f t="shared" si="243"/>
        <v>0.16121468756763496</v>
      </c>
      <c r="AK247" s="78">
        <f t="shared" si="243"/>
        <v>0.16824627590052929</v>
      </c>
      <c r="AL247" s="78">
        <f t="shared" si="243"/>
        <v>0.17875177495743225</v>
      </c>
      <c r="AM247" s="78">
        <f t="shared" si="243"/>
        <v>0.18708972367790405</v>
      </c>
      <c r="AN247" s="78">
        <f t="shared" si="243"/>
        <v>0.19524011739079794</v>
      </c>
      <c r="AO247" s="78">
        <f t="shared" si="243"/>
        <v>0.20667323229658446</v>
      </c>
      <c r="AP247" s="78">
        <f t="shared" si="243"/>
        <v>0.21562882384566748</v>
      </c>
      <c r="AQ247" s="78">
        <f t="shared" si="243"/>
        <v>0.22268746598675834</v>
      </c>
      <c r="AR247" s="78">
        <f t="shared" si="243"/>
        <v>0.23035656865698542</v>
      </c>
      <c r="AS247" s="78">
        <f t="shared" si="243"/>
        <v>0.23348470419375628</v>
      </c>
      <c r="AT247" s="78">
        <f t="shared" si="243"/>
        <v>0.23224725842680718</v>
      </c>
      <c r="AU247" s="78">
        <f t="shared" si="243"/>
        <v>0.23518768030810955</v>
      </c>
      <c r="AV247" s="78">
        <f t="shared" si="243"/>
        <v>0.23658679833725402</v>
      </c>
      <c r="AW247" s="78">
        <f t="shared" si="243"/>
        <v>0.23662796344829443</v>
      </c>
      <c r="AX247" s="78">
        <f t="shared" si="243"/>
        <v>0.23412931609165746</v>
      </c>
      <c r="AY247" s="78">
        <f t="shared" si="243"/>
        <v>0.23498327393949403</v>
      </c>
      <c r="AZ247" s="78">
        <f t="shared" si="243"/>
        <v>0.22987851852146918</v>
      </c>
      <c r="BA247" s="78">
        <f t="shared" si="243"/>
        <v>0.23293258092988967</v>
      </c>
      <c r="BB247" s="78">
        <f t="shared" si="243"/>
        <v>0.23278920055093485</v>
      </c>
      <c r="BC247" s="78">
        <f t="shared" si="243"/>
        <v>0.23269422112495686</v>
      </c>
      <c r="BD247" s="78">
        <f t="shared" si="243"/>
        <v>0.23028727302983634</v>
      </c>
      <c r="BE247" s="78">
        <f t="shared" si="243"/>
        <v>0.23005523368082775</v>
      </c>
      <c r="BF247" s="78">
        <f t="shared" si="243"/>
        <v>0.23330566365930216</v>
      </c>
      <c r="BG247" s="78">
        <f t="shared" si="243"/>
        <v>0.23567536535154296</v>
      </c>
      <c r="BH247" s="78">
        <f t="shared" si="243"/>
        <v>0.24146305980764604</v>
      </c>
      <c r="BI247" s="78">
        <f t="shared" si="243"/>
        <v>0.24250507552659398</v>
      </c>
      <c r="BJ247" s="78">
        <f t="shared" si="243"/>
        <v>0.24475855813439826</v>
      </c>
      <c r="BK247" s="65"/>
    </row>
    <row r="248" spans="1:63" s="51" customFormat="1">
      <c r="A248" s="38"/>
      <c r="N248" s="115"/>
      <c r="O248" s="115"/>
      <c r="P248" s="115"/>
      <c r="Q248" s="115"/>
      <c r="R248" s="115"/>
      <c r="S248" s="115"/>
      <c r="T248" s="115"/>
      <c r="U248" s="115"/>
      <c r="V248" s="115"/>
      <c r="W248" s="115"/>
      <c r="X248" s="115"/>
      <c r="Y248" s="115"/>
      <c r="Z248" s="115"/>
      <c r="AA248" s="115"/>
      <c r="AB248" s="115"/>
      <c r="AC248" s="115"/>
      <c r="AD248" s="115"/>
      <c r="AE248" s="115"/>
      <c r="AF248" s="115"/>
      <c r="AG248" s="115"/>
      <c r="AH248" s="115"/>
      <c r="AI248" s="115"/>
      <c r="AJ248" s="115"/>
      <c r="AK248" s="115"/>
      <c r="AL248" s="115"/>
      <c r="AM248" s="115"/>
      <c r="AN248" s="115"/>
      <c r="AO248" s="115"/>
      <c r="AP248" s="115"/>
      <c r="AQ248" s="115"/>
      <c r="AR248" s="115"/>
      <c r="AS248" s="115"/>
      <c r="AT248" s="115"/>
      <c r="AU248" s="115"/>
      <c r="AV248" s="115"/>
      <c r="AW248" s="115"/>
      <c r="AX248" s="115"/>
      <c r="AY248" s="115"/>
      <c r="AZ248" s="115"/>
      <c r="BA248" s="115"/>
      <c r="BC248" s="119"/>
      <c r="BD248" s="115"/>
      <c r="BE248" s="115"/>
      <c r="BF248" s="115"/>
      <c r="BG248" s="115"/>
      <c r="BH248" s="115"/>
      <c r="BI248" s="115"/>
      <c r="BJ248" s="115"/>
      <c r="BK248" s="65"/>
    </row>
    <row r="249" spans="1:63" s="51" customFormat="1">
      <c r="D249" s="51">
        <v>1960</v>
      </c>
      <c r="E249" s="51">
        <v>1961</v>
      </c>
      <c r="F249" s="51">
        <v>1962</v>
      </c>
      <c r="G249" s="51">
        <v>1963</v>
      </c>
      <c r="H249" s="51">
        <v>1964</v>
      </c>
      <c r="I249" s="51">
        <v>1965</v>
      </c>
      <c r="J249" s="51">
        <v>1966</v>
      </c>
      <c r="K249" s="51">
        <v>1967</v>
      </c>
      <c r="L249" s="51">
        <v>1968</v>
      </c>
      <c r="M249" s="51">
        <v>1969</v>
      </c>
      <c r="N249" s="51">
        <v>1970</v>
      </c>
      <c r="O249" s="51">
        <v>1971</v>
      </c>
      <c r="P249" s="51">
        <v>1972</v>
      </c>
      <c r="Q249" s="51">
        <v>1973</v>
      </c>
      <c r="R249" s="51">
        <v>1974</v>
      </c>
      <c r="S249" s="51">
        <v>1975</v>
      </c>
      <c r="T249" s="51">
        <v>1976</v>
      </c>
      <c r="U249" s="51">
        <v>1977</v>
      </c>
      <c r="V249" s="51">
        <v>1978</v>
      </c>
      <c r="W249" s="51">
        <v>1979</v>
      </c>
      <c r="X249" s="51">
        <v>1980</v>
      </c>
      <c r="Y249" s="51">
        <v>1981</v>
      </c>
      <c r="Z249" s="51">
        <v>1982</v>
      </c>
      <c r="AA249" s="51">
        <v>1983</v>
      </c>
      <c r="AB249" s="51">
        <v>1984</v>
      </c>
      <c r="AC249" s="51">
        <v>1985</v>
      </c>
      <c r="AD249" s="51">
        <v>1986</v>
      </c>
      <c r="AE249" s="51">
        <v>1987</v>
      </c>
      <c r="AF249" s="51">
        <v>1988</v>
      </c>
      <c r="AG249" s="51">
        <v>1989</v>
      </c>
      <c r="AH249" s="51">
        <v>1990</v>
      </c>
      <c r="AI249" s="51">
        <v>1991</v>
      </c>
      <c r="AJ249" s="51">
        <v>1992</v>
      </c>
      <c r="AK249" s="51">
        <v>1993</v>
      </c>
      <c r="AL249" s="51">
        <v>1994</v>
      </c>
      <c r="AM249" s="51">
        <v>1995</v>
      </c>
      <c r="AN249" s="51">
        <v>1996</v>
      </c>
      <c r="AO249" s="51">
        <v>1997</v>
      </c>
      <c r="AP249" s="51">
        <v>1998</v>
      </c>
      <c r="AQ249" s="51">
        <v>1999</v>
      </c>
      <c r="AR249" s="51">
        <v>2000</v>
      </c>
      <c r="AS249" s="51">
        <v>2001</v>
      </c>
      <c r="AT249" s="51">
        <v>2002</v>
      </c>
      <c r="AU249" s="51">
        <v>2003</v>
      </c>
      <c r="AV249" s="51">
        <v>2004</v>
      </c>
      <c r="AW249" s="51">
        <v>2005</v>
      </c>
      <c r="AX249" s="51">
        <v>2006</v>
      </c>
      <c r="AY249" s="51">
        <v>2007</v>
      </c>
      <c r="AZ249" s="51">
        <v>2008</v>
      </c>
      <c r="BA249" s="51">
        <v>2009</v>
      </c>
      <c r="BB249" s="51">
        <v>2010</v>
      </c>
      <c r="BC249" s="51">
        <v>2011</v>
      </c>
      <c r="BD249" s="51">
        <v>2012</v>
      </c>
      <c r="BE249" s="51">
        <v>2013</v>
      </c>
      <c r="BF249" s="51">
        <v>2014</v>
      </c>
      <c r="BG249" s="51">
        <v>2015</v>
      </c>
      <c r="BH249" s="51">
        <v>2016</v>
      </c>
      <c r="BI249" s="51">
        <v>2017</v>
      </c>
      <c r="BJ249" s="51">
        <v>2018</v>
      </c>
      <c r="BK249" s="65">
        <v>2019</v>
      </c>
    </row>
    <row r="250" spans="1:63" s="51" customFormat="1">
      <c r="A250" s="46" t="s">
        <v>263</v>
      </c>
      <c r="C250" s="51" t="s">
        <v>343</v>
      </c>
      <c r="D250" s="120">
        <f>D281-D269</f>
        <v>7.6602394347586342</v>
      </c>
      <c r="E250" s="120">
        <f t="shared" ref="E250:M250" si="244">E281-E269</f>
        <v>8.2262802330875431</v>
      </c>
      <c r="F250" s="120">
        <f t="shared" si="244"/>
        <v>8.7229253351964804</v>
      </c>
      <c r="G250" s="120">
        <f t="shared" si="244"/>
        <v>9.2867445756488181</v>
      </c>
      <c r="H250" s="120">
        <f t="shared" si="244"/>
        <v>10.317997508599271</v>
      </c>
      <c r="I250" s="120">
        <f t="shared" si="244"/>
        <v>11.132581801782329</v>
      </c>
      <c r="J250" s="120">
        <f t="shared" si="244"/>
        <v>11.794110647360984</v>
      </c>
      <c r="K250" s="120">
        <f t="shared" si="244"/>
        <v>12.646237832618205</v>
      </c>
      <c r="L250" s="120">
        <f t="shared" si="244"/>
        <v>13.441622545453637</v>
      </c>
      <c r="M250" s="120">
        <f t="shared" si="244"/>
        <v>13.917758000863465</v>
      </c>
      <c r="N250" s="121">
        <f>N226+N238</f>
        <v>13.806491497457937</v>
      </c>
      <c r="O250" s="121">
        <f t="shared" ref="O250:BJ251" si="245">O226+O238</f>
        <v>14.541927566789116</v>
      </c>
      <c r="P250" s="121">
        <f t="shared" si="245"/>
        <v>15.486270740520634</v>
      </c>
      <c r="Q250" s="121">
        <f t="shared" si="245"/>
        <v>16.488976614979585</v>
      </c>
      <c r="R250" s="121">
        <f t="shared" si="245"/>
        <v>16.032070946710522</v>
      </c>
      <c r="S250" s="121">
        <f t="shared" si="245"/>
        <v>15.648511692282357</v>
      </c>
      <c r="T250" s="121">
        <f t="shared" si="245"/>
        <v>16.337810933445617</v>
      </c>
      <c r="U250" s="121">
        <f t="shared" si="245"/>
        <v>16.795217845928534</v>
      </c>
      <c r="V250" s="121">
        <f t="shared" si="245"/>
        <v>17.802743137601478</v>
      </c>
      <c r="W250" s="121">
        <f t="shared" si="245"/>
        <v>18.119378435358513</v>
      </c>
      <c r="X250" s="121">
        <f t="shared" si="245"/>
        <v>18.540455149982208</v>
      </c>
      <c r="Y250" s="121">
        <f t="shared" si="245"/>
        <v>18.079820936116423</v>
      </c>
      <c r="Z250" s="121">
        <f t="shared" si="245"/>
        <v>18.591328527834325</v>
      </c>
      <c r="AA250" s="121">
        <f t="shared" si="245"/>
        <v>18.946605922801126</v>
      </c>
      <c r="AB250" s="121">
        <f t="shared" si="245"/>
        <v>19.613498497689712</v>
      </c>
      <c r="AC250" s="121">
        <f t="shared" si="245"/>
        <v>19.824635165528672</v>
      </c>
      <c r="AD250" s="121">
        <f t="shared" si="245"/>
        <v>20.901633609872263</v>
      </c>
      <c r="AE250" s="121">
        <f t="shared" si="245"/>
        <v>21.633453124838031</v>
      </c>
      <c r="AF250" s="121">
        <f t="shared" si="245"/>
        <v>22.720527527394431</v>
      </c>
      <c r="AG250" s="121">
        <f t="shared" si="245"/>
        <v>23.406309735168055</v>
      </c>
      <c r="AH250" s="121">
        <f t="shared" si="245"/>
        <v>23.796807230976896</v>
      </c>
      <c r="AI250" s="121">
        <f t="shared" si="245"/>
        <v>23.51928416725956</v>
      </c>
      <c r="AJ250" s="121">
        <f t="shared" si="245"/>
        <v>23.572781510996919</v>
      </c>
      <c r="AK250" s="121">
        <f t="shared" si="245"/>
        <v>23.319102720129997</v>
      </c>
      <c r="AL250" s="121">
        <f t="shared" si="245"/>
        <v>22.389432076569584</v>
      </c>
      <c r="AM250" s="121">
        <f t="shared" si="245"/>
        <v>21.497052779492918</v>
      </c>
      <c r="AN250" s="121">
        <f t="shared" si="245"/>
        <v>21.94373865710584</v>
      </c>
      <c r="AO250" s="121">
        <f t="shared" si="245"/>
        <v>21.771055704390502</v>
      </c>
      <c r="AP250" s="121">
        <f t="shared" si="245"/>
        <v>21.360194579154093</v>
      </c>
      <c r="AQ250" s="121">
        <f t="shared" si="245"/>
        <v>21.27656003884303</v>
      </c>
      <c r="AR250" s="121">
        <f t="shared" si="245"/>
        <v>20.889582752823724</v>
      </c>
      <c r="AS250" s="121">
        <f t="shared" si="245"/>
        <v>20.418600941083987</v>
      </c>
      <c r="AT250" s="121">
        <f t="shared" si="245"/>
        <v>20.273271829878333</v>
      </c>
      <c r="AU250" s="121">
        <f t="shared" si="245"/>
        <v>19.359529981959785</v>
      </c>
      <c r="AV250" s="121">
        <f t="shared" si="245"/>
        <v>18.925073451222524</v>
      </c>
      <c r="AW250" s="121">
        <f t="shared" si="245"/>
        <v>18.282913386201653</v>
      </c>
      <c r="AX250" s="121">
        <f t="shared" si="245"/>
        <v>17.52787831990128</v>
      </c>
      <c r="AY250" s="121">
        <f t="shared" si="245"/>
        <v>17.026868373844181</v>
      </c>
      <c r="AZ250" s="121">
        <f t="shared" si="245"/>
        <v>15.977655456127069</v>
      </c>
      <c r="BA250" s="121">
        <f t="shared" si="245"/>
        <v>15.070296771576054</v>
      </c>
      <c r="BB250" s="121">
        <f t="shared" si="245"/>
        <v>14.062468115099026</v>
      </c>
      <c r="BC250" s="121">
        <f t="shared" si="245"/>
        <v>13.352714375561858</v>
      </c>
      <c r="BD250" s="121">
        <f t="shared" si="245"/>
        <v>12.708587275802495</v>
      </c>
      <c r="BE250" s="121">
        <f t="shared" si="245"/>
        <v>12.056640450704233</v>
      </c>
      <c r="BF250" s="121">
        <f t="shared" si="245"/>
        <v>11.783721878072544</v>
      </c>
      <c r="BG250" s="121">
        <f t="shared" si="245"/>
        <v>11.519625024160037</v>
      </c>
      <c r="BH250" s="121">
        <f t="shared" si="245"/>
        <v>11.367551192113094</v>
      </c>
      <c r="BI250" s="121">
        <f t="shared" si="245"/>
        <v>11.191660036294206</v>
      </c>
      <c r="BJ250" s="121">
        <f t="shared" si="245"/>
        <v>10.982986790800501</v>
      </c>
      <c r="BK250" s="65"/>
    </row>
    <row r="251" spans="1:63" s="51" customFormat="1">
      <c r="A251" s="46" t="s">
        <v>263</v>
      </c>
      <c r="C251" s="51" t="s">
        <v>344</v>
      </c>
      <c r="D251" s="122"/>
      <c r="N251" s="121">
        <f>N227+N239</f>
        <v>0.36249189344659538</v>
      </c>
      <c r="O251" s="121">
        <f t="shared" si="245"/>
        <v>0.39096840649533487</v>
      </c>
      <c r="P251" s="121">
        <f t="shared" si="245"/>
        <v>0.41928062659697585</v>
      </c>
      <c r="Q251" s="121">
        <f t="shared" si="245"/>
        <v>0.46365978996339768</v>
      </c>
      <c r="R251" s="121">
        <f t="shared" si="245"/>
        <v>0.47072917798564207</v>
      </c>
      <c r="S251" s="121">
        <f t="shared" si="245"/>
        <v>0.45928481876301419</v>
      </c>
      <c r="T251" s="121">
        <f t="shared" si="245"/>
        <v>0.46335116706749901</v>
      </c>
      <c r="U251" s="121">
        <f t="shared" si="245"/>
        <v>0.49788135837437408</v>
      </c>
      <c r="V251" s="121">
        <f t="shared" si="245"/>
        <v>0.51664096505808221</v>
      </c>
      <c r="W251" s="121">
        <f t="shared" si="245"/>
        <v>0.52896943457480217</v>
      </c>
      <c r="X251" s="121">
        <f t="shared" si="245"/>
        <v>0.53639494253653308</v>
      </c>
      <c r="Y251" s="121">
        <f t="shared" si="245"/>
        <v>0.53730866451634296</v>
      </c>
      <c r="Z251" s="121">
        <f t="shared" si="245"/>
        <v>0.57234195503530105</v>
      </c>
      <c r="AA251" s="121">
        <f t="shared" si="245"/>
        <v>0.60119673819448072</v>
      </c>
      <c r="AB251" s="121">
        <f t="shared" si="245"/>
        <v>0.659597765140155</v>
      </c>
      <c r="AC251" s="121">
        <f t="shared" si="245"/>
        <v>0.71032515171759403</v>
      </c>
      <c r="AD251" s="121">
        <f t="shared" si="245"/>
        <v>0.80432940580827261</v>
      </c>
      <c r="AE251" s="121">
        <f t="shared" si="245"/>
        <v>0.95319977529562694</v>
      </c>
      <c r="AF251" s="121">
        <f t="shared" si="245"/>
        <v>1.1946054464085749</v>
      </c>
      <c r="AG251" s="121">
        <f t="shared" si="245"/>
        <v>1.800592832993515</v>
      </c>
      <c r="AH251" s="121">
        <f t="shared" si="245"/>
        <v>2.3540948432946984</v>
      </c>
      <c r="AI251" s="121">
        <f t="shared" si="245"/>
        <v>2.6794217585861135</v>
      </c>
      <c r="AJ251" s="121">
        <f t="shared" si="245"/>
        <v>3.161607283124467</v>
      </c>
      <c r="AK251" s="121">
        <f t="shared" si="245"/>
        <v>3.7453830830425563</v>
      </c>
      <c r="AL251" s="121">
        <f t="shared" si="245"/>
        <v>4.6221766955830281</v>
      </c>
      <c r="AM251" s="121">
        <f t="shared" si="245"/>
        <v>5.23130988075724</v>
      </c>
      <c r="AN251" s="121">
        <f t="shared" si="245"/>
        <v>5.9315042445602124</v>
      </c>
      <c r="AO251" s="121">
        <f t="shared" si="245"/>
        <v>6.5204189970477913</v>
      </c>
      <c r="AP251" s="121">
        <f t="shared" si="245"/>
        <v>6.7966304493271714</v>
      </c>
      <c r="AQ251" s="121">
        <f t="shared" si="245"/>
        <v>7.3222753669938667</v>
      </c>
      <c r="AR251" s="121">
        <f t="shared" si="245"/>
        <v>7.6390274517847994</v>
      </c>
      <c r="AS251" s="121">
        <f t="shared" si="245"/>
        <v>8.1068470721911776</v>
      </c>
      <c r="AT251" s="121">
        <f t="shared" si="245"/>
        <v>8.8203856737627646</v>
      </c>
      <c r="AU251" s="121">
        <f t="shared" si="245"/>
        <v>9.4942915528404743</v>
      </c>
      <c r="AV251" s="121">
        <f t="shared" si="245"/>
        <v>10.22155374857393</v>
      </c>
      <c r="AW251" s="121">
        <f t="shared" si="245"/>
        <v>11.015142499630795</v>
      </c>
      <c r="AX251" s="121">
        <f t="shared" si="245"/>
        <v>11.757625357837217</v>
      </c>
      <c r="AY251" s="121">
        <f t="shared" si="245"/>
        <v>12.537494585116617</v>
      </c>
      <c r="AZ251" s="121">
        <f t="shared" si="245"/>
        <v>12.64596816651936</v>
      </c>
      <c r="BA251" s="121">
        <f t="shared" si="245"/>
        <v>12.781142586805128</v>
      </c>
      <c r="BB251" s="121">
        <f t="shared" si="245"/>
        <v>13.190673804130256</v>
      </c>
      <c r="BC251" s="121">
        <f t="shared" si="245"/>
        <v>13.693124763772181</v>
      </c>
      <c r="BD251" s="121">
        <f t="shared" si="245"/>
        <v>14.305286622749891</v>
      </c>
      <c r="BE251" s="121">
        <f t="shared" si="245"/>
        <v>14.651172019595242</v>
      </c>
      <c r="BF251" s="121">
        <f t="shared" si="245"/>
        <v>15.224742830239091</v>
      </c>
      <c r="BG251" s="121">
        <f t="shared" si="245"/>
        <v>15.920676398378641</v>
      </c>
      <c r="BH251" s="121">
        <f t="shared" si="245"/>
        <v>16.726877159243447</v>
      </c>
      <c r="BI251" s="121">
        <f t="shared" si="245"/>
        <v>16.941490122567515</v>
      </c>
      <c r="BJ251" s="121">
        <f t="shared" si="245"/>
        <v>16.736025266402198</v>
      </c>
      <c r="BK251" s="65"/>
    </row>
    <row r="252" spans="1:63" s="51" customFormat="1">
      <c r="A252" s="46" t="s">
        <v>263</v>
      </c>
      <c r="C252" s="51" t="s">
        <v>345</v>
      </c>
      <c r="N252" s="121">
        <f>SUM(N250:N251)</f>
        <v>14.168983390904533</v>
      </c>
      <c r="O252" s="121">
        <f t="shared" ref="O252:BJ252" si="246">SUM(O250:O251)</f>
        <v>14.932895973284451</v>
      </c>
      <c r="P252" s="121">
        <f t="shared" si="246"/>
        <v>15.90555136711761</v>
      </c>
      <c r="Q252" s="121">
        <f t="shared" si="246"/>
        <v>16.952636404942982</v>
      </c>
      <c r="R252" s="121">
        <f t="shared" si="246"/>
        <v>16.502800124696165</v>
      </c>
      <c r="S252" s="121">
        <f t="shared" si="246"/>
        <v>16.107796511045372</v>
      </c>
      <c r="T252" s="121">
        <f t="shared" si="246"/>
        <v>16.801162100513118</v>
      </c>
      <c r="U252" s="121">
        <f t="shared" si="246"/>
        <v>17.293099204302909</v>
      </c>
      <c r="V252" s="121">
        <f t="shared" si="246"/>
        <v>18.319384102659562</v>
      </c>
      <c r="W252" s="121">
        <f t="shared" si="246"/>
        <v>18.648347869933314</v>
      </c>
      <c r="X252" s="121">
        <f t="shared" si="246"/>
        <v>19.07685009251874</v>
      </c>
      <c r="Y252" s="121">
        <f t="shared" si="246"/>
        <v>18.617129600632765</v>
      </c>
      <c r="Z252" s="121">
        <f t="shared" si="246"/>
        <v>19.163670482869627</v>
      </c>
      <c r="AA252" s="121">
        <f t="shared" si="246"/>
        <v>19.547802660995607</v>
      </c>
      <c r="AB252" s="121">
        <f t="shared" si="246"/>
        <v>20.273096262829867</v>
      </c>
      <c r="AC252" s="121">
        <f t="shared" si="246"/>
        <v>20.534960317246266</v>
      </c>
      <c r="AD252" s="121">
        <f t="shared" si="246"/>
        <v>21.705963015680535</v>
      </c>
      <c r="AE252" s="121">
        <f t="shared" si="246"/>
        <v>22.586652900133657</v>
      </c>
      <c r="AF252" s="121">
        <f t="shared" si="246"/>
        <v>23.915132973803004</v>
      </c>
      <c r="AG252" s="121">
        <f t="shared" si="246"/>
        <v>25.206902568161571</v>
      </c>
      <c r="AH252" s="121">
        <f t="shared" si="246"/>
        <v>26.150902074271595</v>
      </c>
      <c r="AI252" s="121">
        <f t="shared" si="246"/>
        <v>26.198705925845672</v>
      </c>
      <c r="AJ252" s="121">
        <f t="shared" si="246"/>
        <v>26.734388794121386</v>
      </c>
      <c r="AK252" s="121">
        <f t="shared" si="246"/>
        <v>27.064485803172552</v>
      </c>
      <c r="AL252" s="121">
        <f t="shared" si="246"/>
        <v>27.011608772152613</v>
      </c>
      <c r="AM252" s="121">
        <f t="shared" si="246"/>
        <v>26.728362660250159</v>
      </c>
      <c r="AN252" s="121">
        <f t="shared" si="246"/>
        <v>27.875242901666052</v>
      </c>
      <c r="AO252" s="121">
        <f t="shared" si="246"/>
        <v>28.291474701438293</v>
      </c>
      <c r="AP252" s="121">
        <f t="shared" si="246"/>
        <v>28.156825028481265</v>
      </c>
      <c r="AQ252" s="121">
        <f t="shared" si="246"/>
        <v>28.598835405836898</v>
      </c>
      <c r="AR252" s="121">
        <f t="shared" si="246"/>
        <v>28.528610204608523</v>
      </c>
      <c r="AS252" s="121">
        <f t="shared" si="246"/>
        <v>28.525448013275167</v>
      </c>
      <c r="AT252" s="121">
        <f t="shared" si="246"/>
        <v>29.093657503641097</v>
      </c>
      <c r="AU252" s="121">
        <f t="shared" si="246"/>
        <v>28.853821534800261</v>
      </c>
      <c r="AV252" s="121">
        <f t="shared" si="246"/>
        <v>29.146627199796455</v>
      </c>
      <c r="AW252" s="121">
        <f t="shared" si="246"/>
        <v>29.298055885832447</v>
      </c>
      <c r="AX252" s="121">
        <f t="shared" si="246"/>
        <v>29.285503677738497</v>
      </c>
      <c r="AY252" s="121">
        <f t="shared" si="246"/>
        <v>29.5643629589608</v>
      </c>
      <c r="AZ252" s="121">
        <f t="shared" si="246"/>
        <v>28.623623622646427</v>
      </c>
      <c r="BA252" s="121">
        <f t="shared" si="246"/>
        <v>27.851439358381182</v>
      </c>
      <c r="BB252" s="121">
        <f t="shared" si="246"/>
        <v>27.253141919229282</v>
      </c>
      <c r="BC252" s="121">
        <f t="shared" si="246"/>
        <v>27.045839139334038</v>
      </c>
      <c r="BD252" s="121">
        <f t="shared" si="246"/>
        <v>27.013873898552387</v>
      </c>
      <c r="BE252" s="121">
        <f t="shared" si="246"/>
        <v>26.707812470299473</v>
      </c>
      <c r="BF252" s="121">
        <f t="shared" si="246"/>
        <v>27.008464708311635</v>
      </c>
      <c r="BG252" s="121">
        <f t="shared" si="246"/>
        <v>27.440301422538678</v>
      </c>
      <c r="BH252" s="121">
        <f t="shared" si="246"/>
        <v>28.094428351356541</v>
      </c>
      <c r="BI252" s="121">
        <f t="shared" si="246"/>
        <v>28.133150158861721</v>
      </c>
      <c r="BJ252" s="121">
        <f t="shared" si="246"/>
        <v>27.719012057202697</v>
      </c>
      <c r="BK252" s="65"/>
    </row>
    <row r="253" spans="1:63" s="51" customFormat="1">
      <c r="A253" s="38"/>
      <c r="C253" s="51" t="s">
        <v>346</v>
      </c>
      <c r="D253" s="115"/>
      <c r="E253" s="115"/>
      <c r="F253" s="115"/>
      <c r="G253" s="115"/>
      <c r="H253" s="115"/>
      <c r="I253" s="115"/>
      <c r="J253" s="115"/>
      <c r="K253" s="115"/>
      <c r="L253" s="115"/>
      <c r="M253" s="115"/>
      <c r="N253" s="115">
        <f t="shared" ref="N253:AS253" si="247">(N128+N129)/(N228+N240)</f>
        <v>12.366455317639705</v>
      </c>
      <c r="O253" s="115">
        <f t="shared" si="247"/>
        <v>12.477298464633909</v>
      </c>
      <c r="P253" s="115">
        <f t="shared" si="247"/>
        <v>12.381941088012063</v>
      </c>
      <c r="Q253" s="115">
        <f t="shared" si="247"/>
        <v>12.224600059231729</v>
      </c>
      <c r="R253" s="115">
        <f t="shared" si="247"/>
        <v>12.333573603391587</v>
      </c>
      <c r="S253" s="115">
        <f t="shared" si="247"/>
        <v>12.725924359637732</v>
      </c>
      <c r="T253" s="115">
        <f t="shared" si="247"/>
        <v>12.765765767681609</v>
      </c>
      <c r="U253" s="115">
        <f t="shared" si="247"/>
        <v>12.635225035060909</v>
      </c>
      <c r="V253" s="115">
        <f t="shared" si="247"/>
        <v>12.428010610190052</v>
      </c>
      <c r="W253" s="115">
        <f t="shared" si="247"/>
        <v>12.148379126134895</v>
      </c>
      <c r="X253" s="115">
        <f t="shared" si="247"/>
        <v>12.634591079295772</v>
      </c>
      <c r="Y253" s="115">
        <f t="shared" si="247"/>
        <v>13.197217039926995</v>
      </c>
      <c r="Z253" s="115">
        <f t="shared" si="247"/>
        <v>13.215453700604259</v>
      </c>
      <c r="AA253" s="115">
        <f t="shared" si="247"/>
        <v>13.161535568054289</v>
      </c>
      <c r="AB253" s="115">
        <f t="shared" si="247"/>
        <v>13.389089484948297</v>
      </c>
      <c r="AC253" s="115">
        <f t="shared" si="247"/>
        <v>13.594450424408489</v>
      </c>
      <c r="AD253" s="115">
        <f t="shared" si="247"/>
        <v>13.557845822708057</v>
      </c>
      <c r="AE253" s="115">
        <f t="shared" si="247"/>
        <v>14.040765641646859</v>
      </c>
      <c r="AF253" s="115">
        <f t="shared" si="247"/>
        <v>14.283453927443498</v>
      </c>
      <c r="AG253" s="115">
        <f t="shared" si="247"/>
        <v>14.71959511870565</v>
      </c>
      <c r="AH253" s="115">
        <f t="shared" si="247"/>
        <v>14.366674577150885</v>
      </c>
      <c r="AI253" s="115">
        <f t="shared" si="247"/>
        <v>14.383450887482576</v>
      </c>
      <c r="AJ253" s="115">
        <f t="shared" si="247"/>
        <v>14.179505015777874</v>
      </c>
      <c r="AK253" s="115">
        <f t="shared" si="247"/>
        <v>14.024397239998805</v>
      </c>
      <c r="AL253" s="115">
        <f t="shared" si="247"/>
        <v>14.373512635806602</v>
      </c>
      <c r="AM253" s="115">
        <f t="shared" si="247"/>
        <v>14.802743625908921</v>
      </c>
      <c r="AN253" s="115">
        <f t="shared" si="247"/>
        <v>14.563126909137608</v>
      </c>
      <c r="AO253" s="115">
        <f t="shared" si="247"/>
        <v>14.644605994290455</v>
      </c>
      <c r="AP253" s="115">
        <f t="shared" si="247"/>
        <v>14.966073041749109</v>
      </c>
      <c r="AQ253" s="115">
        <f t="shared" si="247"/>
        <v>14.999191187780022</v>
      </c>
      <c r="AR253" s="115">
        <f t="shared" si="247"/>
        <v>15.007913001343322</v>
      </c>
      <c r="AS253" s="115">
        <f t="shared" si="247"/>
        <v>15.235199804670911</v>
      </c>
      <c r="AT253" s="115">
        <f t="shared" ref="AT253:BJ253" si="248">(AT128+AT129)/(AT228+AT240)</f>
        <v>15.302658318029678</v>
      </c>
      <c r="AU253" s="115">
        <f t="shared" si="248"/>
        <v>15.502348604343945</v>
      </c>
      <c r="AV253" s="115">
        <f t="shared" si="248"/>
        <v>15.589508758089622</v>
      </c>
      <c r="AW253" s="115">
        <f t="shared" si="248"/>
        <v>15.508933485915138</v>
      </c>
      <c r="AX253" s="115">
        <f t="shared" si="248"/>
        <v>15.757325025991674</v>
      </c>
      <c r="AY253" s="115">
        <f t="shared" si="248"/>
        <v>15.739314276648848</v>
      </c>
      <c r="AZ253" s="115">
        <f t="shared" si="248"/>
        <v>16.132932925887367</v>
      </c>
      <c r="BA253" s="115">
        <f t="shared" si="248"/>
        <v>16.493564087981849</v>
      </c>
      <c r="BB253" s="115">
        <f t="shared" si="248"/>
        <v>16.725766935458381</v>
      </c>
      <c r="BC253" s="115">
        <f t="shared" si="248"/>
        <v>17.032442499816739</v>
      </c>
      <c r="BD253" s="115">
        <f t="shared" si="248"/>
        <v>17.13598359636995</v>
      </c>
      <c r="BE253" s="115">
        <f t="shared" si="248"/>
        <v>17.495015756891778</v>
      </c>
      <c r="BF253" s="115">
        <f t="shared" si="248"/>
        <v>17.878132104688035</v>
      </c>
      <c r="BG253" s="115">
        <f t="shared" si="248"/>
        <v>18.00136931419685</v>
      </c>
      <c r="BH253" s="115">
        <f t="shared" si="248"/>
        <v>18.074772465533396</v>
      </c>
      <c r="BI253" s="115">
        <f t="shared" si="248"/>
        <v>18.438802518409069</v>
      </c>
      <c r="BJ253" s="115">
        <f t="shared" si="248"/>
        <v>18.963890160125995</v>
      </c>
      <c r="BK253" s="65">
        <f>BA253/N253</f>
        <v>1.3337341755850742</v>
      </c>
    </row>
    <row r="254" spans="1:63" s="51" customFormat="1">
      <c r="A254" s="38"/>
      <c r="C254" s="51" t="s">
        <v>347</v>
      </c>
      <c r="D254" s="115"/>
      <c r="E254" s="115"/>
      <c r="F254" s="115"/>
      <c r="G254" s="115"/>
      <c r="H254" s="115"/>
      <c r="I254" s="115"/>
      <c r="J254" s="115"/>
      <c r="K254" s="115"/>
      <c r="L254" s="115"/>
      <c r="M254" s="115"/>
      <c r="N254" s="115">
        <f t="shared" ref="N254:AS254" si="249">(N250/(N250+N251*1.25))*((N$129+N128)/N250)</f>
        <v>12.287863740691488</v>
      </c>
      <c r="O254" s="115">
        <f t="shared" si="249"/>
        <v>12.396160367339355</v>
      </c>
      <c r="P254" s="115">
        <f t="shared" si="249"/>
        <v>12.300876323053895</v>
      </c>
      <c r="Q254" s="115">
        <f t="shared" si="249"/>
        <v>12.141581070408145</v>
      </c>
      <c r="R254" s="115">
        <f t="shared" si="249"/>
        <v>12.246245016628579</v>
      </c>
      <c r="S254" s="115">
        <f t="shared" si="249"/>
        <v>12.635852215216824</v>
      </c>
      <c r="T254" s="115">
        <f t="shared" si="249"/>
        <v>12.678353216628972</v>
      </c>
      <c r="U254" s="115">
        <f t="shared" si="249"/>
        <v>12.544930534040438</v>
      </c>
      <c r="V254" s="115">
        <f t="shared" si="249"/>
        <v>12.341000772507176</v>
      </c>
      <c r="W254" s="115">
        <f t="shared" si="249"/>
        <v>12.062837069693375</v>
      </c>
      <c r="X254" s="115">
        <f t="shared" si="249"/>
        <v>12.546397481772626</v>
      </c>
      <c r="Y254" s="115">
        <f t="shared" si="249"/>
        <v>13.102677997557436</v>
      </c>
      <c r="Z254" s="115">
        <f t="shared" si="249"/>
        <v>13.117511837419197</v>
      </c>
      <c r="AA254" s="115">
        <f t="shared" si="249"/>
        <v>13.061111269368189</v>
      </c>
      <c r="AB254" s="115">
        <f t="shared" si="249"/>
        <v>13.281062582146919</v>
      </c>
      <c r="AC254" s="115">
        <f t="shared" si="249"/>
        <v>13.477896885925524</v>
      </c>
      <c r="AD254" s="115">
        <f t="shared" si="249"/>
        <v>13.433399852337955</v>
      </c>
      <c r="AE254" s="115">
        <f t="shared" si="249"/>
        <v>13.894175474012192</v>
      </c>
      <c r="AF254" s="115">
        <f t="shared" si="249"/>
        <v>14.107282664632045</v>
      </c>
      <c r="AG254" s="115">
        <f t="shared" si="249"/>
        <v>14.461342546086543</v>
      </c>
      <c r="AH254" s="115">
        <f t="shared" si="249"/>
        <v>14.050470007079154</v>
      </c>
      <c r="AI254" s="115">
        <f t="shared" si="249"/>
        <v>14.024859570038871</v>
      </c>
      <c r="AJ254" s="115">
        <f t="shared" si="249"/>
        <v>13.772326384010995</v>
      </c>
      <c r="AK254" s="115">
        <f t="shared" si="249"/>
        <v>13.555422416573752</v>
      </c>
      <c r="AL254" s="115">
        <f t="shared" si="249"/>
        <v>13.783846054433011</v>
      </c>
      <c r="AM254" s="115">
        <f t="shared" si="249"/>
        <v>14.112227737050166</v>
      </c>
      <c r="AN254" s="115">
        <f t="shared" si="249"/>
        <v>13.827544622811162</v>
      </c>
      <c r="AO254" s="115">
        <f t="shared" si="249"/>
        <v>13.846779067349798</v>
      </c>
      <c r="AP254" s="115">
        <f t="shared" si="249"/>
        <v>14.11432693640273</v>
      </c>
      <c r="AQ254" s="115">
        <f t="shared" si="249"/>
        <v>14.096871450713296</v>
      </c>
      <c r="AR254" s="115">
        <f t="shared" si="249"/>
        <v>14.066290055894118</v>
      </c>
      <c r="AS254" s="115">
        <f t="shared" si="249"/>
        <v>14.224555746977749</v>
      </c>
      <c r="AT254" s="115">
        <f t="shared" ref="AT254:BJ254" si="250">(AT250/(AT250+AT251*1.25))*((AT$129+AT128)/AT250)</f>
        <v>14.224537536169988</v>
      </c>
      <c r="AU254" s="115">
        <f t="shared" si="250"/>
        <v>14.324025691698402</v>
      </c>
      <c r="AV254" s="115">
        <f t="shared" si="250"/>
        <v>14.332893062816607</v>
      </c>
      <c r="AW254" s="115">
        <f t="shared" si="250"/>
        <v>14.176458468002306</v>
      </c>
      <c r="AX254" s="115">
        <f t="shared" si="250"/>
        <v>14.32001516074761</v>
      </c>
      <c r="AY254" s="115">
        <f t="shared" si="250"/>
        <v>14.230604858459037</v>
      </c>
      <c r="AZ254" s="115">
        <f t="shared" si="250"/>
        <v>14.528278105937625</v>
      </c>
      <c r="BA254" s="115">
        <f t="shared" si="250"/>
        <v>14.796069470283886</v>
      </c>
      <c r="BB254" s="115">
        <f t="shared" si="250"/>
        <v>14.920379998944465</v>
      </c>
      <c r="BC254" s="115">
        <f t="shared" si="250"/>
        <v>15.118805367749546</v>
      </c>
      <c r="BD254" s="115">
        <f t="shared" si="250"/>
        <v>15.132603489873405</v>
      </c>
      <c r="BE254" s="115">
        <f t="shared" si="250"/>
        <v>15.385060412495758</v>
      </c>
      <c r="BF254" s="115">
        <f t="shared" si="250"/>
        <v>15.669848383264391</v>
      </c>
      <c r="BG254" s="115">
        <f t="shared" si="250"/>
        <v>15.721056743947885</v>
      </c>
      <c r="BH254" s="115">
        <f t="shared" si="250"/>
        <v>15.732992848016149</v>
      </c>
      <c r="BI254" s="115">
        <f t="shared" si="250"/>
        <v>16.026112930023107</v>
      </c>
      <c r="BJ254" s="115">
        <f t="shared" si="250"/>
        <v>16.476820275778021</v>
      </c>
      <c r="BK254" s="65">
        <f>BA254/N254</f>
        <v>1.2041205682714748</v>
      </c>
    </row>
    <row r="255" spans="1:63" s="51" customFormat="1">
      <c r="A255" s="38"/>
      <c r="C255" s="51" t="s">
        <v>348</v>
      </c>
      <c r="D255" s="115"/>
      <c r="E255" s="115"/>
      <c r="F255" s="115"/>
      <c r="G255" s="115"/>
      <c r="H255" s="115"/>
      <c r="I255" s="115"/>
      <c r="J255" s="115"/>
      <c r="K255" s="115"/>
      <c r="L255" s="115"/>
      <c r="M255" s="115"/>
      <c r="N255" s="115">
        <f t="shared" ref="N255:AS255" si="251">(N251*1.25/(N250+N251*1.25))*((N128+N$129)/N251)</f>
        <v>15.359829675864361</v>
      </c>
      <c r="O255" s="115">
        <f t="shared" si="251"/>
        <v>15.495200459174193</v>
      </c>
      <c r="P255" s="115">
        <f t="shared" si="251"/>
        <v>15.376095403817367</v>
      </c>
      <c r="Q255" s="115">
        <f t="shared" si="251"/>
        <v>15.176976338010183</v>
      </c>
      <c r="R255" s="115">
        <f t="shared" si="251"/>
        <v>15.307806270785722</v>
      </c>
      <c r="S255" s="115">
        <f t="shared" si="251"/>
        <v>15.794815269021028</v>
      </c>
      <c r="T255" s="115">
        <f t="shared" si="251"/>
        <v>15.847941520786213</v>
      </c>
      <c r="U255" s="115">
        <f t="shared" si="251"/>
        <v>15.681163167550546</v>
      </c>
      <c r="V255" s="115">
        <f t="shared" si="251"/>
        <v>15.426250965633971</v>
      </c>
      <c r="W255" s="115">
        <f t="shared" si="251"/>
        <v>15.078546337116716</v>
      </c>
      <c r="X255" s="115">
        <f t="shared" si="251"/>
        <v>15.68299685221578</v>
      </c>
      <c r="Y255" s="115">
        <f t="shared" si="251"/>
        <v>16.378347496946791</v>
      </c>
      <c r="Z255" s="115">
        <f t="shared" si="251"/>
        <v>16.396889796773998</v>
      </c>
      <c r="AA255" s="115">
        <f t="shared" si="251"/>
        <v>16.326389086710233</v>
      </c>
      <c r="AB255" s="115">
        <f t="shared" si="251"/>
        <v>16.601328227683652</v>
      </c>
      <c r="AC255" s="115">
        <f t="shared" si="251"/>
        <v>16.847371107406907</v>
      </c>
      <c r="AD255" s="115">
        <f t="shared" si="251"/>
        <v>16.791749815422442</v>
      </c>
      <c r="AE255" s="115">
        <f t="shared" si="251"/>
        <v>17.36771934251524</v>
      </c>
      <c r="AF255" s="115">
        <f t="shared" si="251"/>
        <v>17.634103330790058</v>
      </c>
      <c r="AG255" s="115">
        <f t="shared" si="251"/>
        <v>18.07667818260818</v>
      </c>
      <c r="AH255" s="115">
        <f t="shared" si="251"/>
        <v>17.563087508848941</v>
      </c>
      <c r="AI255" s="115">
        <f t="shared" si="251"/>
        <v>17.531074462548588</v>
      </c>
      <c r="AJ255" s="115">
        <f t="shared" si="251"/>
        <v>17.215407980013744</v>
      </c>
      <c r="AK255" s="115">
        <f t="shared" si="251"/>
        <v>16.944278020717185</v>
      </c>
      <c r="AL255" s="115">
        <f t="shared" si="251"/>
        <v>17.22980756804127</v>
      </c>
      <c r="AM255" s="115">
        <f t="shared" si="251"/>
        <v>17.64028467131271</v>
      </c>
      <c r="AN255" s="115">
        <f t="shared" si="251"/>
        <v>17.284430778513951</v>
      </c>
      <c r="AO255" s="115">
        <f t="shared" si="251"/>
        <v>17.308473834187247</v>
      </c>
      <c r="AP255" s="115">
        <f t="shared" si="251"/>
        <v>17.642908670503409</v>
      </c>
      <c r="AQ255" s="115">
        <f t="shared" si="251"/>
        <v>17.621089313391622</v>
      </c>
      <c r="AR255" s="115">
        <f t="shared" si="251"/>
        <v>17.58286256986765</v>
      </c>
      <c r="AS255" s="115">
        <f t="shared" si="251"/>
        <v>17.780694683722189</v>
      </c>
      <c r="AT255" s="115">
        <f t="shared" ref="AT255:BJ255" si="252">(AT251*1.25/(AT250+AT251*1.25))*((AT128+AT$129)/AT251)</f>
        <v>17.780671920212484</v>
      </c>
      <c r="AU255" s="115">
        <f t="shared" si="252"/>
        <v>17.905032114623001</v>
      </c>
      <c r="AV255" s="115">
        <f t="shared" si="252"/>
        <v>17.916116328520758</v>
      </c>
      <c r="AW255" s="115">
        <f t="shared" si="252"/>
        <v>17.720573085002883</v>
      </c>
      <c r="AX255" s="115">
        <f t="shared" si="252"/>
        <v>17.900018950934509</v>
      </c>
      <c r="AY255" s="115">
        <f t="shared" si="252"/>
        <v>17.7882560730738</v>
      </c>
      <c r="AZ255" s="115">
        <f t="shared" si="252"/>
        <v>18.160347632422031</v>
      </c>
      <c r="BA255" s="115">
        <f t="shared" si="252"/>
        <v>18.49508683785486</v>
      </c>
      <c r="BB255" s="115">
        <f t="shared" si="252"/>
        <v>18.650474998680579</v>
      </c>
      <c r="BC255" s="115">
        <f t="shared" si="252"/>
        <v>18.898506709686934</v>
      </c>
      <c r="BD255" s="115">
        <f t="shared" si="252"/>
        <v>18.915754362341758</v>
      </c>
      <c r="BE255" s="115">
        <f t="shared" si="252"/>
        <v>19.231325515619698</v>
      </c>
      <c r="BF255" s="115">
        <f t="shared" si="252"/>
        <v>19.58731047908049</v>
      </c>
      <c r="BG255" s="115">
        <f t="shared" si="252"/>
        <v>19.651320929934858</v>
      </c>
      <c r="BH255" s="115">
        <f t="shared" si="252"/>
        <v>19.666241060020187</v>
      </c>
      <c r="BI255" s="115">
        <f t="shared" si="252"/>
        <v>20.032641162528883</v>
      </c>
      <c r="BJ255" s="115">
        <f t="shared" si="252"/>
        <v>20.59602534472252</v>
      </c>
      <c r="BK255" s="65">
        <f>BA255/N255</f>
        <v>1.2041205682714751</v>
      </c>
    </row>
    <row r="256" spans="1:63" s="51" customFormat="1">
      <c r="A256" s="38"/>
      <c r="B256" s="116">
        <f>(N256/X256)^(1/10)</f>
        <v>0.99791990267356967</v>
      </c>
      <c r="C256" s="51" t="s">
        <v>349</v>
      </c>
      <c r="D256" s="117">
        <f t="shared" ref="D256:L257" si="253">E256*$B256</f>
        <v>17.588036033599646</v>
      </c>
      <c r="E256" s="117">
        <f t="shared" si="253"/>
        <v>17.624697118955932</v>
      </c>
      <c r="F256" s="117">
        <f t="shared" si="253"/>
        <v>17.661434621893857</v>
      </c>
      <c r="G256" s="117">
        <f t="shared" si="253"/>
        <v>17.698248701700763</v>
      </c>
      <c r="H256" s="117">
        <f t="shared" si="253"/>
        <v>17.735139517996014</v>
      </c>
      <c r="I256" s="117">
        <f t="shared" si="253"/>
        <v>17.772107230731692</v>
      </c>
      <c r="J256" s="117">
        <f t="shared" si="253"/>
        <v>17.809152000193286</v>
      </c>
      <c r="K256" s="117">
        <f t="shared" si="253"/>
        <v>17.846273987000387</v>
      </c>
      <c r="L256" s="117">
        <f t="shared" si="253"/>
        <v>17.883473352107394</v>
      </c>
      <c r="M256" s="117">
        <f>N256*$B256</f>
        <v>17.920750256804197</v>
      </c>
      <c r="N256" s="113">
        <f t="shared" ref="N256:AS256" si="254">(N$120*(N250*N254/(N$226*N$229+N$227*N$230))*1000000000/1.609)/(N250*1000000*$N$5)</f>
        <v>17.95810486271689</v>
      </c>
      <c r="O256" s="113">
        <f t="shared" si="254"/>
        <v>18.11638653689927</v>
      </c>
      <c r="P256" s="113">
        <f t="shared" si="254"/>
        <v>17.977125886429569</v>
      </c>
      <c r="Q256" s="113">
        <f t="shared" si="254"/>
        <v>17.744343373324352</v>
      </c>
      <c r="R256" s="113">
        <f t="shared" si="254"/>
        <v>17.897302590387522</v>
      </c>
      <c r="S256" s="113">
        <f t="shared" si="254"/>
        <v>18.466714062780319</v>
      </c>
      <c r="T256" s="113">
        <f t="shared" si="254"/>
        <v>18.528816006478078</v>
      </c>
      <c r="U256" s="113">
        <f t="shared" si="254"/>
        <v>18.333843917853613</v>
      </c>
      <c r="V256" s="113">
        <f t="shared" si="254"/>
        <v>18.035786207524595</v>
      </c>
      <c r="W256" s="113">
        <f t="shared" si="254"/>
        <v>17.629257545091612</v>
      </c>
      <c r="X256" s="113">
        <f t="shared" si="254"/>
        <v>18.335960288246753</v>
      </c>
      <c r="Y256" s="113">
        <f t="shared" si="254"/>
        <v>19.148951261626902</v>
      </c>
      <c r="Z256" s="113">
        <f t="shared" si="254"/>
        <v>19.170672507681616</v>
      </c>
      <c r="AA256" s="113">
        <f t="shared" si="254"/>
        <v>19.088286989211319</v>
      </c>
      <c r="AB256" s="113">
        <f t="shared" si="254"/>
        <v>19.409804179562531</v>
      </c>
      <c r="AC256" s="113">
        <f t="shared" si="254"/>
        <v>19.697548066184755</v>
      </c>
      <c r="AD256" s="113">
        <f t="shared" si="254"/>
        <v>19.632631572063147</v>
      </c>
      <c r="AE256" s="113">
        <f t="shared" si="254"/>
        <v>20.306868791529876</v>
      </c>
      <c r="AF256" s="113">
        <f t="shared" si="254"/>
        <v>20.618814767754994</v>
      </c>
      <c r="AG256" s="113">
        <f t="shared" si="254"/>
        <v>21.138226729842906</v>
      </c>
      <c r="AH256" s="113">
        <f t="shared" si="254"/>
        <v>20.543407259579851</v>
      </c>
      <c r="AI256" s="113">
        <f t="shared" si="254"/>
        <v>20.508759425836718</v>
      </c>
      <c r="AJ256" s="113">
        <f t="shared" si="254"/>
        <v>20.145995989214548</v>
      </c>
      <c r="AK256" s="113">
        <f t="shared" si="254"/>
        <v>19.839742810357606</v>
      </c>
      <c r="AL256" s="113">
        <f t="shared" si="254"/>
        <v>20.196316929795113</v>
      </c>
      <c r="AM256" s="113">
        <f t="shared" si="254"/>
        <v>20.698868763323947</v>
      </c>
      <c r="AN256" s="113">
        <f t="shared" si="254"/>
        <v>20.297211587924227</v>
      </c>
      <c r="AO256" s="113">
        <f t="shared" si="254"/>
        <v>20.340919447128574</v>
      </c>
      <c r="AP256" s="113">
        <f t="shared" si="254"/>
        <v>20.742705514042935</v>
      </c>
      <c r="AQ256" s="113">
        <f t="shared" si="254"/>
        <v>20.734493372389672</v>
      </c>
      <c r="AR256" s="113">
        <f t="shared" si="254"/>
        <v>20.702001257232961</v>
      </c>
      <c r="AS256" s="113">
        <f t="shared" si="254"/>
        <v>20.958494609693322</v>
      </c>
      <c r="AT256" s="113">
        <f t="shared" ref="AT256:BJ256" si="255">(AT$120*(AT250*AT254/(AT$226*AT$229+AT$227*AT$230))*1000000000/1.609)/(AT250*1000000*$N$5)</f>
        <v>20.992647268976828</v>
      </c>
      <c r="AU256" s="113">
        <f t="shared" si="255"/>
        <v>21.184583216537135</v>
      </c>
      <c r="AV256" s="113">
        <f t="shared" si="255"/>
        <v>21.243750014369422</v>
      </c>
      <c r="AW256" s="113">
        <f t="shared" si="255"/>
        <v>21.071681343359494</v>
      </c>
      <c r="AX256" s="113">
        <f t="shared" si="255"/>
        <v>21.358933605838764</v>
      </c>
      <c r="AY256" s="113">
        <f t="shared" si="255"/>
        <v>21.290766005126944</v>
      </c>
      <c r="AZ256" s="113">
        <f t="shared" si="255"/>
        <v>21.81166000786979</v>
      </c>
      <c r="BA256" s="113">
        <f t="shared" si="255"/>
        <v>22.274587821717983</v>
      </c>
      <c r="BB256" s="113">
        <f t="shared" si="255"/>
        <v>22.550106878809494</v>
      </c>
      <c r="BC256" s="113">
        <f t="shared" si="255"/>
        <v>22.949275318893516</v>
      </c>
      <c r="BD256" s="113">
        <f t="shared" si="255"/>
        <v>23.082251773165044</v>
      </c>
      <c r="BE256" s="113">
        <f t="shared" si="255"/>
        <v>23.55857256529524</v>
      </c>
      <c r="BF256" s="113">
        <f t="shared" si="255"/>
        <v>24.063218058180382</v>
      </c>
      <c r="BG256" s="113">
        <f t="shared" si="255"/>
        <v>24.221166313441127</v>
      </c>
      <c r="BH256" s="113">
        <f t="shared" si="255"/>
        <v>24.310046237342778</v>
      </c>
      <c r="BI256" s="113">
        <f t="shared" si="255"/>
        <v>24.799771175915922</v>
      </c>
      <c r="BJ256" s="113">
        <f t="shared" si="255"/>
        <v>25.498151536182831</v>
      </c>
      <c r="BK256" s="65"/>
    </row>
    <row r="257" spans="1:63" s="51" customFormat="1">
      <c r="A257" s="38"/>
      <c r="B257" s="116">
        <f>(N257/X257)^(1/10)</f>
        <v>0.99792001780800754</v>
      </c>
      <c r="C257" s="51" t="s">
        <v>350</v>
      </c>
      <c r="D257" s="117">
        <f t="shared" si="253"/>
        <v>21.984638095867581</v>
      </c>
      <c r="E257" s="117">
        <f t="shared" si="253"/>
        <v>22.030461062559088</v>
      </c>
      <c r="F257" s="117">
        <f t="shared" si="253"/>
        <v>22.076379538863591</v>
      </c>
      <c r="G257" s="117">
        <f t="shared" si="253"/>
        <v>22.122393723853452</v>
      </c>
      <c r="H257" s="117">
        <f t="shared" si="253"/>
        <v>22.168503817015964</v>
      </c>
      <c r="I257" s="117">
        <f t="shared" si="253"/>
        <v>22.214710018254209</v>
      </c>
      <c r="J257" s="117">
        <f t="shared" si="253"/>
        <v>22.261012527887935</v>
      </c>
      <c r="K257" s="117">
        <f t="shared" si="253"/>
        <v>22.307411546654425</v>
      </c>
      <c r="L257" s="117">
        <f t="shared" si="253"/>
        <v>22.35390727570935</v>
      </c>
      <c r="M257" s="117">
        <f>N257*$B257</f>
        <v>22.400499916627663</v>
      </c>
      <c r="N257" s="113">
        <f t="shared" ref="N257:AS257" si="256">(N$120*(N251*N255/(N$226*N$230+N$227*N$231))*1000000000/1.609)/(N251*1000000*$N$5)</f>
        <v>22.447189671404463</v>
      </c>
      <c r="O257" s="113">
        <f t="shared" si="256"/>
        <v>22.645023482914574</v>
      </c>
      <c r="P257" s="113">
        <f t="shared" si="256"/>
        <v>22.470960760551254</v>
      </c>
      <c r="Q257" s="113">
        <f t="shared" si="256"/>
        <v>22.179963820370983</v>
      </c>
      <c r="R257" s="113">
        <f t="shared" si="256"/>
        <v>22.371161533996947</v>
      </c>
      <c r="S257" s="113">
        <f t="shared" si="256"/>
        <v>23.082887092532705</v>
      </c>
      <c r="T257" s="113">
        <f t="shared" si="256"/>
        <v>23.160526954111237</v>
      </c>
      <c r="U257" s="113">
        <f t="shared" si="256"/>
        <v>22.91679343576056</v>
      </c>
      <c r="V257" s="113">
        <f t="shared" si="256"/>
        <v>22.544259191128404</v>
      </c>
      <c r="W257" s="113">
        <f t="shared" si="256"/>
        <v>22.036116072965022</v>
      </c>
      <c r="X257" s="113">
        <f t="shared" si="256"/>
        <v>22.919473222473478</v>
      </c>
      <c r="Y257" s="113">
        <f t="shared" si="256"/>
        <v>23.935673801503139</v>
      </c>
      <c r="Z257" s="113">
        <f t="shared" si="256"/>
        <v>23.962771922377456</v>
      </c>
      <c r="AA257" s="113">
        <f t="shared" si="256"/>
        <v>23.859740648973631</v>
      </c>
      <c r="AB257" s="113">
        <f t="shared" si="256"/>
        <v>24.261542698590176</v>
      </c>
      <c r="AC257" s="113">
        <f t="shared" si="256"/>
        <v>24.621115122568618</v>
      </c>
      <c r="AD257" s="113">
        <f t="shared" si="256"/>
        <v>24.539828954864181</v>
      </c>
      <c r="AE257" s="113">
        <f t="shared" si="256"/>
        <v>25.381563368099044</v>
      </c>
      <c r="AF257" s="113">
        <f t="shared" si="256"/>
        <v>25.770862731205</v>
      </c>
      <c r="AG257" s="113">
        <f t="shared" si="256"/>
        <v>26.417651260257891</v>
      </c>
      <c r="AH257" s="113">
        <f t="shared" si="256"/>
        <v>25.66707866208295</v>
      </c>
      <c r="AI257" s="113">
        <f t="shared" si="256"/>
        <v>25.62029409887958</v>
      </c>
      <c r="AJ257" s="113">
        <f t="shared" si="256"/>
        <v>25.158972225141675</v>
      </c>
      <c r="AK257" s="113">
        <f t="shared" si="256"/>
        <v>24.762736996603081</v>
      </c>
      <c r="AL257" s="113">
        <f t="shared" si="256"/>
        <v>25.180016096751267</v>
      </c>
      <c r="AM257" s="113">
        <f t="shared" si="256"/>
        <v>25.779896276892913</v>
      </c>
      <c r="AN257" s="113">
        <f t="shared" si="256"/>
        <v>25.259843646393172</v>
      </c>
      <c r="AO257" s="113">
        <f t="shared" si="256"/>
        <v>25.294980691683893</v>
      </c>
      <c r="AP257" s="113">
        <f t="shared" si="256"/>
        <v>25.783731046468777</v>
      </c>
      <c r="AQ257" s="113">
        <f t="shared" si="256"/>
        <v>25.751843762694651</v>
      </c>
      <c r="AR257" s="113">
        <f t="shared" si="256"/>
        <v>25.695978367015744</v>
      </c>
      <c r="AS257" s="113">
        <f t="shared" si="256"/>
        <v>25.985094527578763</v>
      </c>
      <c r="AT257" s="113">
        <f t="shared" ref="AT257:BJ257" si="257">(AT$120*(AT251*AT255/(AT$226*AT$230+AT$227*AT$231))*1000000000/1.609)/(AT251*1000000*$N$5)</f>
        <v>25.985061260489818</v>
      </c>
      <c r="AU257" s="113">
        <f t="shared" si="257"/>
        <v>26.166803957538875</v>
      </c>
      <c r="AV257" s="113">
        <f t="shared" si="257"/>
        <v>26.183002669176428</v>
      </c>
      <c r="AW257" s="113">
        <f t="shared" si="257"/>
        <v>25.897231513581872</v>
      </c>
      <c r="AX257" s="113">
        <f t="shared" si="257"/>
        <v>26.159477610922789</v>
      </c>
      <c r="AY257" s="113">
        <f t="shared" si="257"/>
        <v>25.996144906686911</v>
      </c>
      <c r="AZ257" s="113">
        <f t="shared" si="257"/>
        <v>26.539927616787072</v>
      </c>
      <c r="BA257" s="113">
        <f t="shared" si="257"/>
        <v>27.029122783229123</v>
      </c>
      <c r="BB257" s="113">
        <f t="shared" si="257"/>
        <v>27.256210426279388</v>
      </c>
      <c r="BC257" s="113">
        <f t="shared" si="257"/>
        <v>27.618689371617648</v>
      </c>
      <c r="BD257" s="113">
        <f t="shared" si="257"/>
        <v>27.643895466912948</v>
      </c>
      <c r="BE257" s="113">
        <f t="shared" si="257"/>
        <v>28.105078024398242</v>
      </c>
      <c r="BF257" s="113">
        <f t="shared" si="257"/>
        <v>28.625322204418605</v>
      </c>
      <c r="BG257" s="113">
        <f t="shared" si="257"/>
        <v>28.718868471636522</v>
      </c>
      <c r="BH257" s="113">
        <f t="shared" si="257"/>
        <v>28.740673074748337</v>
      </c>
      <c r="BI257" s="113">
        <f t="shared" si="257"/>
        <v>29.276138165846227</v>
      </c>
      <c r="BJ257" s="113">
        <f t="shared" si="257"/>
        <v>30.099480081898946</v>
      </c>
      <c r="BK257" s="65"/>
    </row>
    <row r="258" spans="1:63" s="51" customFormat="1">
      <c r="A258" s="38"/>
      <c r="C258" s="51" t="s">
        <v>333</v>
      </c>
      <c r="D258" s="118">
        <f>D250/D281</f>
        <v>0.94088889785295304</v>
      </c>
      <c r="E258" s="118">
        <f t="shared" ref="E258:M258" si="258">E250/E281</f>
        <v>0.94617185915373336</v>
      </c>
      <c r="F258" s="118">
        <f t="shared" si="258"/>
        <v>0.95372396536480497</v>
      </c>
      <c r="G258" s="118">
        <f t="shared" si="258"/>
        <v>0.9616671415228184</v>
      </c>
      <c r="H258" s="118">
        <f t="shared" si="258"/>
        <v>0.96520287587114506</v>
      </c>
      <c r="I258" s="118">
        <f t="shared" si="258"/>
        <v>0.97086957458672651</v>
      </c>
      <c r="J258" s="118">
        <f t="shared" si="258"/>
        <v>0.97554176199030684</v>
      </c>
      <c r="K258" s="118">
        <f t="shared" si="258"/>
        <v>0.98008387306565381</v>
      </c>
      <c r="L258" s="118">
        <f t="shared" si="258"/>
        <v>0.98288750400281866</v>
      </c>
      <c r="M258" s="118">
        <f t="shared" si="258"/>
        <v>0.98507728481589751</v>
      </c>
      <c r="N258" s="78">
        <f t="shared" ref="N258:BJ258" si="259">N250/N$281</f>
        <v>0.98545950556214812</v>
      </c>
      <c r="O258" s="78">
        <f t="shared" si="259"/>
        <v>0.98663361817216866</v>
      </c>
      <c r="P258" s="78">
        <f t="shared" si="259"/>
        <v>0.98828689459297669</v>
      </c>
      <c r="Q258" s="78">
        <f t="shared" si="259"/>
        <v>0.98829620859119527</v>
      </c>
      <c r="R258" s="78">
        <f t="shared" si="259"/>
        <v>0.98706804518409685</v>
      </c>
      <c r="S258" s="78">
        <f t="shared" si="259"/>
        <v>0.98468159219329443</v>
      </c>
      <c r="T258" s="78">
        <f t="shared" si="259"/>
        <v>0.98168893269926116</v>
      </c>
      <c r="U258" s="78">
        <f t="shared" si="259"/>
        <v>0.98241613628924485</v>
      </c>
      <c r="V258" s="78">
        <f t="shared" si="259"/>
        <v>0.98326861872951143</v>
      </c>
      <c r="W258" s="78">
        <f t="shared" si="259"/>
        <v>0.98250255628787386</v>
      </c>
      <c r="X258" s="78">
        <f t="shared" si="259"/>
        <v>0.98030022276346296</v>
      </c>
      <c r="Y258" s="78">
        <f t="shared" si="259"/>
        <v>0.97768722307994338</v>
      </c>
      <c r="Z258" s="78">
        <f t="shared" si="259"/>
        <v>0.97746777254608619</v>
      </c>
      <c r="AA258" s="78">
        <f t="shared" si="259"/>
        <v>0.97994477270404623</v>
      </c>
      <c r="AB258" s="78">
        <f t="shared" si="259"/>
        <v>0.98127927139843341</v>
      </c>
      <c r="AC258" s="78">
        <f t="shared" si="259"/>
        <v>0.9834149658284278</v>
      </c>
      <c r="AD258" s="78">
        <f t="shared" si="259"/>
        <v>0.98489892721892858</v>
      </c>
      <c r="AE258" s="78">
        <f t="shared" si="259"/>
        <v>0.98658199462636309</v>
      </c>
      <c r="AF258" s="78">
        <f t="shared" si="259"/>
        <v>0.9886943850656118</v>
      </c>
      <c r="AG258" s="78">
        <f t="shared" si="259"/>
        <v>0.98980954321837367</v>
      </c>
      <c r="AH258" s="78">
        <f t="shared" si="259"/>
        <v>0.99015893669011912</v>
      </c>
      <c r="AI258" s="78">
        <f t="shared" si="259"/>
        <v>0.99036570427256787</v>
      </c>
      <c r="AJ258" s="78">
        <f t="shared" si="259"/>
        <v>0.99179059139971792</v>
      </c>
      <c r="AK258" s="78">
        <f t="shared" si="259"/>
        <v>0.99296426575298868</v>
      </c>
      <c r="AL258" s="78">
        <f t="shared" si="259"/>
        <v>0.99285079726843706</v>
      </c>
      <c r="AM258" s="78">
        <f t="shared" si="259"/>
        <v>0.9927196773389777</v>
      </c>
      <c r="AN258" s="78">
        <f t="shared" si="259"/>
        <v>0.99259035140953444</v>
      </c>
      <c r="AO258" s="78">
        <f t="shared" si="259"/>
        <v>0.99199822639259772</v>
      </c>
      <c r="AP258" s="78">
        <f t="shared" si="259"/>
        <v>0.99161786162603738</v>
      </c>
      <c r="AQ258" s="78">
        <f t="shared" si="259"/>
        <v>0.99068715338341351</v>
      </c>
      <c r="AR258" s="78">
        <f t="shared" si="259"/>
        <v>0.99052949722975625</v>
      </c>
      <c r="AS258" s="78">
        <f t="shared" si="259"/>
        <v>0.99008819721098285</v>
      </c>
      <c r="AT258" s="78">
        <f t="shared" si="259"/>
        <v>0.98958723517192715</v>
      </c>
      <c r="AU258" s="78">
        <f t="shared" si="259"/>
        <v>0.98814196879441241</v>
      </c>
      <c r="AV258" s="78">
        <f t="shared" si="259"/>
        <v>0.98889691767752819</v>
      </c>
      <c r="AW258" s="78">
        <f t="shared" si="259"/>
        <v>0.98798726689018934</v>
      </c>
      <c r="AX258" s="78">
        <f t="shared" si="259"/>
        <v>0.98832828277729123</v>
      </c>
      <c r="AY258" s="78">
        <f t="shared" si="259"/>
        <v>0.98720162022106828</v>
      </c>
      <c r="AZ258" s="78">
        <f t="shared" si="259"/>
        <v>0.987509063161923</v>
      </c>
      <c r="BA258" s="78">
        <f t="shared" si="259"/>
        <v>0.98712586432955352</v>
      </c>
      <c r="BB258" s="78">
        <f t="shared" si="259"/>
        <v>0.98781777414006433</v>
      </c>
      <c r="BC258" s="78">
        <f t="shared" si="259"/>
        <v>0.98727797771311732</v>
      </c>
      <c r="BD258" s="78">
        <f t="shared" si="259"/>
        <v>0.98704948821737681</v>
      </c>
      <c r="BE258" s="78">
        <f t="shared" si="259"/>
        <v>0.98705989502854352</v>
      </c>
      <c r="BF258" s="78">
        <f t="shared" si="259"/>
        <v>0.9863992226389493</v>
      </c>
      <c r="BG258" s="78">
        <f t="shared" si="259"/>
        <v>0.98595648725474927</v>
      </c>
      <c r="BH258" s="78">
        <f t="shared" si="259"/>
        <v>0.98564426542800798</v>
      </c>
      <c r="BI258" s="78">
        <f t="shared" si="259"/>
        <v>0.98535416248548557</v>
      </c>
      <c r="BJ258" s="78">
        <f t="shared" si="259"/>
        <v>0.98541977125381441</v>
      </c>
      <c r="BK258" s="65"/>
    </row>
    <row r="259" spans="1:63" s="51" customFormat="1">
      <c r="A259" s="38"/>
      <c r="C259" s="51" t="s">
        <v>334</v>
      </c>
      <c r="D259" s="118">
        <f>E259-0.003</f>
        <v>4.5435624158031776E-2</v>
      </c>
      <c r="E259" s="118">
        <f t="shared" ref="E259:L259" si="260">F259-0.003</f>
        <v>4.8435624158031779E-2</v>
      </c>
      <c r="F259" s="118">
        <f t="shared" si="260"/>
        <v>5.1435624158031781E-2</v>
      </c>
      <c r="G259" s="118">
        <f t="shared" si="260"/>
        <v>5.4435624158031784E-2</v>
      </c>
      <c r="H259" s="118">
        <f t="shared" si="260"/>
        <v>5.7435624158031787E-2</v>
      </c>
      <c r="I259" s="118">
        <f t="shared" si="260"/>
        <v>6.0435624158031789E-2</v>
      </c>
      <c r="J259" s="118">
        <f t="shared" si="260"/>
        <v>6.3435624158031792E-2</v>
      </c>
      <c r="K259" s="118">
        <f t="shared" si="260"/>
        <v>6.6435624158031795E-2</v>
      </c>
      <c r="L259" s="118">
        <f t="shared" si="260"/>
        <v>6.9435624158031797E-2</v>
      </c>
      <c r="M259" s="118">
        <f>N259-0.003</f>
        <v>7.24356241580318E-2</v>
      </c>
      <c r="N259" s="78">
        <f>N251/N$282</f>
        <v>7.5435624158031803E-2</v>
      </c>
      <c r="O259" s="78">
        <f t="shared" ref="O259:BI259" si="261">O251/O$282</f>
        <v>7.8852475836911726E-2</v>
      </c>
      <c r="P259" s="78">
        <f t="shared" si="261"/>
        <v>8.3503023520660982E-2</v>
      </c>
      <c r="Q259" s="78">
        <f t="shared" si="261"/>
        <v>8.5789866466366119E-2</v>
      </c>
      <c r="R259" s="78">
        <f t="shared" si="261"/>
        <v>8.9376904871638574E-2</v>
      </c>
      <c r="S259" s="78">
        <f t="shared" si="261"/>
        <v>8.8697332608159998E-2</v>
      </c>
      <c r="T259" s="78">
        <f t="shared" si="261"/>
        <v>8.6549691534662854E-2</v>
      </c>
      <c r="U259" s="78">
        <f t="shared" si="261"/>
        <v>9.1094614457192358E-2</v>
      </c>
      <c r="V259" s="78">
        <f t="shared" si="261"/>
        <v>9.1805532966471773E-2</v>
      </c>
      <c r="W259" s="78">
        <f t="shared" si="261"/>
        <v>9.1053710147443651E-2</v>
      </c>
      <c r="X259" s="78">
        <f t="shared" si="261"/>
        <v>9.5357305719250773E-2</v>
      </c>
      <c r="Y259" s="78">
        <f t="shared" si="261"/>
        <v>0.10076975190374193</v>
      </c>
      <c r="Z259" s="78">
        <f t="shared" si="261"/>
        <v>0.10381737597207294</v>
      </c>
      <c r="AA259" s="78">
        <f t="shared" si="261"/>
        <v>0.10088066719290763</v>
      </c>
      <c r="AB259" s="78">
        <f t="shared" si="261"/>
        <v>0.10112060882338759</v>
      </c>
      <c r="AC259" s="78">
        <f t="shared" si="261"/>
        <v>0.10344298557106475</v>
      </c>
      <c r="AD259" s="78">
        <f t="shared" si="261"/>
        <v>0.10551876553928574</v>
      </c>
      <c r="AE259" s="78">
        <f t="shared" si="261"/>
        <v>0.11604319949188083</v>
      </c>
      <c r="AF259" s="78">
        <f t="shared" si="261"/>
        <v>0.1313107702199873</v>
      </c>
      <c r="AG259" s="78">
        <f t="shared" si="261"/>
        <v>0.18308705878705817</v>
      </c>
      <c r="AH259" s="78">
        <f t="shared" si="261"/>
        <v>0.22706424408819331</v>
      </c>
      <c r="AI259" s="78">
        <f t="shared" si="261"/>
        <v>0.25712849219513473</v>
      </c>
      <c r="AJ259" s="78">
        <f t="shared" si="261"/>
        <v>0.29123310372343347</v>
      </c>
      <c r="AK259" s="78">
        <f t="shared" si="261"/>
        <v>0.32501606863542304</v>
      </c>
      <c r="AL259" s="78">
        <f t="shared" si="261"/>
        <v>0.36632547502550677</v>
      </c>
      <c r="AM259" s="78">
        <f t="shared" si="261"/>
        <v>0.39770004236065876</v>
      </c>
      <c r="AN259" s="78">
        <f t="shared" si="261"/>
        <v>0.42190033516566056</v>
      </c>
      <c r="AO259" s="78">
        <f t="shared" si="261"/>
        <v>0.44456086233744452</v>
      </c>
      <c r="AP259" s="78">
        <f t="shared" si="261"/>
        <v>0.45826593465709747</v>
      </c>
      <c r="AQ259" s="78">
        <f t="shared" si="261"/>
        <v>0.48194075696589017</v>
      </c>
      <c r="AR259" s="78">
        <f t="shared" si="261"/>
        <v>0.49882365523973893</v>
      </c>
      <c r="AS259" s="78">
        <f t="shared" si="261"/>
        <v>0.51509572768953982</v>
      </c>
      <c r="AT259" s="78">
        <f t="shared" si="261"/>
        <v>0.53130430500482084</v>
      </c>
      <c r="AU259" s="78">
        <f t="shared" si="261"/>
        <v>0.54618037415692444</v>
      </c>
      <c r="AV259" s="78">
        <f t="shared" si="261"/>
        <v>0.56287817084313652</v>
      </c>
      <c r="AW259" s="78">
        <f t="shared" si="261"/>
        <v>0.57901174816904633</v>
      </c>
      <c r="AX259" s="78">
        <f t="shared" si="261"/>
        <v>0.59391252353197777</v>
      </c>
      <c r="AY259" s="78">
        <f t="shared" si="261"/>
        <v>0.60680427812644999</v>
      </c>
      <c r="AZ259" s="78">
        <f t="shared" si="261"/>
        <v>0.62808450125601156</v>
      </c>
      <c r="BA259" s="78">
        <f t="shared" si="261"/>
        <v>0.64644414458305</v>
      </c>
      <c r="BB259" s="78">
        <f t="shared" si="261"/>
        <v>0.64738521382653813</v>
      </c>
      <c r="BC259" s="78">
        <f t="shared" si="261"/>
        <v>0.66408863369380799</v>
      </c>
      <c r="BD259" s="78">
        <f t="shared" si="261"/>
        <v>0.67521815866595591</v>
      </c>
      <c r="BE259" s="78">
        <f t="shared" si="261"/>
        <v>0.67927440458788035</v>
      </c>
      <c r="BF259" s="78">
        <f t="shared" si="261"/>
        <v>0.68298917307579088</v>
      </c>
      <c r="BG259" s="78">
        <f t="shared" si="261"/>
        <v>0.68451219605605318</v>
      </c>
      <c r="BH259" s="78">
        <f t="shared" si="261"/>
        <v>0.69061723206623615</v>
      </c>
      <c r="BI259" s="78">
        <f t="shared" si="261"/>
        <v>0.69273636956892637</v>
      </c>
      <c r="BJ259" s="78">
        <f>BJ251/BJ$282</f>
        <v>0.69236078823845892</v>
      </c>
      <c r="BK259" s="65"/>
    </row>
    <row r="260" spans="1:63" s="51" customFormat="1">
      <c r="A260" s="38"/>
      <c r="D260" s="123">
        <f>D278+D267+D259</f>
        <v>0.98827194569055288</v>
      </c>
      <c r="E260" s="123">
        <f t="shared" ref="E260:M260" si="262">E278+E267+E259</f>
        <v>0.96640502426483188</v>
      </c>
      <c r="F260" s="123">
        <f t="shared" si="262"/>
        <v>0.95059593107667495</v>
      </c>
      <c r="G260" s="123">
        <f t="shared" si="262"/>
        <v>0.93552491699166274</v>
      </c>
      <c r="H260" s="123">
        <f t="shared" si="262"/>
        <v>0.96028261992212993</v>
      </c>
      <c r="I260" s="123">
        <f t="shared" si="262"/>
        <v>0.94151599432127264</v>
      </c>
      <c r="J260" s="123">
        <f t="shared" si="262"/>
        <v>0.95582832543538121</v>
      </c>
      <c r="K260" s="123">
        <f t="shared" si="262"/>
        <v>0.93754357481779171</v>
      </c>
      <c r="L260" s="123">
        <f t="shared" si="262"/>
        <v>0.93797500692341962</v>
      </c>
      <c r="M260" s="123">
        <f t="shared" si="262"/>
        <v>0.9376599584140749</v>
      </c>
      <c r="N260" s="115"/>
      <c r="O260" s="115"/>
      <c r="P260" s="115"/>
      <c r="Q260" s="115"/>
      <c r="R260" s="115"/>
      <c r="S260" s="115"/>
      <c r="T260" s="115"/>
      <c r="U260" s="115"/>
      <c r="V260" s="115"/>
      <c r="W260" s="115"/>
      <c r="X260" s="115"/>
      <c r="Y260" s="115"/>
      <c r="Z260" s="115"/>
      <c r="AA260" s="115"/>
      <c r="AB260" s="115"/>
      <c r="AC260" s="115"/>
      <c r="AD260" s="115"/>
      <c r="AE260" s="115"/>
      <c r="AF260" s="115"/>
      <c r="AG260" s="115"/>
      <c r="AH260" s="115"/>
      <c r="AI260" s="115"/>
      <c r="AJ260" s="115"/>
      <c r="AK260" s="115"/>
      <c r="AL260" s="115"/>
      <c r="AM260" s="115"/>
      <c r="AN260" s="115"/>
      <c r="AO260" s="115"/>
      <c r="AP260" s="115"/>
      <c r="AQ260" s="115"/>
      <c r="AR260" s="115"/>
      <c r="AS260" s="115"/>
      <c r="AT260" s="115"/>
      <c r="AU260" s="115"/>
      <c r="AV260" s="115"/>
      <c r="AW260" s="115"/>
      <c r="AX260" s="115"/>
      <c r="AY260" s="115"/>
      <c r="AZ260" s="115"/>
      <c r="BA260" s="115"/>
      <c r="BC260" s="119"/>
      <c r="BD260" s="115"/>
      <c r="BE260" s="115"/>
      <c r="BF260" s="115"/>
      <c r="BG260" s="115"/>
      <c r="BH260" s="115"/>
      <c r="BI260" s="115"/>
      <c r="BJ260" s="115"/>
      <c r="BK260" s="65"/>
    </row>
    <row r="261" spans="1:63" s="51" customFormat="1">
      <c r="A261" s="38"/>
      <c r="N261" s="115"/>
      <c r="O261" s="115"/>
      <c r="P261" s="115"/>
      <c r="Q261" s="115"/>
      <c r="R261" s="115"/>
      <c r="S261" s="115"/>
      <c r="T261" s="115"/>
      <c r="U261" s="115"/>
      <c r="V261" s="115"/>
      <c r="W261" s="115"/>
      <c r="X261" s="115"/>
      <c r="Y261" s="115"/>
      <c r="Z261" s="115"/>
      <c r="AA261" s="115"/>
      <c r="AB261" s="115"/>
      <c r="AC261" s="115"/>
      <c r="AD261" s="115"/>
      <c r="AE261" s="115"/>
      <c r="AF261" s="115"/>
      <c r="AG261" s="115"/>
      <c r="AH261" s="115"/>
      <c r="AI261" s="115"/>
      <c r="AJ261" s="115"/>
      <c r="AK261" s="115"/>
      <c r="AL261" s="115"/>
      <c r="AM261" s="115"/>
      <c r="AN261" s="115"/>
      <c r="AO261" s="115"/>
      <c r="AP261" s="115"/>
      <c r="AQ261" s="115"/>
      <c r="AR261" s="115"/>
      <c r="AS261" s="115"/>
      <c r="AT261" s="115"/>
      <c r="AU261" s="115"/>
      <c r="AV261" s="115"/>
      <c r="AW261" s="115"/>
      <c r="AX261" s="115"/>
      <c r="AY261" s="115"/>
      <c r="AZ261" s="115"/>
      <c r="BA261" s="115"/>
      <c r="BC261" s="119"/>
      <c r="BD261" s="115"/>
      <c r="BE261" s="115"/>
      <c r="BF261" s="115"/>
      <c r="BG261" s="115"/>
      <c r="BH261" s="115"/>
      <c r="BI261" s="115"/>
      <c r="BJ261" s="115"/>
      <c r="BK261" s="65"/>
    </row>
    <row r="262" spans="1:63">
      <c r="A262" s="46" t="s">
        <v>263</v>
      </c>
      <c r="C262" s="38" t="s">
        <v>351</v>
      </c>
      <c r="D262" s="113">
        <f t="shared" ref="D262:M262" si="263">$N262*D122/$N122*D266/$N266</f>
        <v>1.8083847361537315</v>
      </c>
      <c r="E262" s="113">
        <f t="shared" si="263"/>
        <v>1.9236003841635263</v>
      </c>
      <c r="F262" s="113">
        <f t="shared" si="263"/>
        <v>2.0248425096458171</v>
      </c>
      <c r="G262" s="113">
        <f t="shared" si="263"/>
        <v>2.175817609049234</v>
      </c>
      <c r="H262" s="113">
        <f t="shared" si="263"/>
        <v>2.5240419095307973</v>
      </c>
      <c r="I262" s="113">
        <f t="shared" si="263"/>
        <v>2.6322854222202272</v>
      </c>
      <c r="J262" s="113">
        <f t="shared" si="263"/>
        <v>2.8226179146286756</v>
      </c>
      <c r="K262" s="113">
        <f t="shared" si="263"/>
        <v>2.9166597476124405</v>
      </c>
      <c r="L262" s="113">
        <f t="shared" si="263"/>
        <v>3.127554476042854</v>
      </c>
      <c r="M262" s="113">
        <f t="shared" si="263"/>
        <v>3.2619592796970376</v>
      </c>
      <c r="N262" s="111">
        <v>3.4654343224851569</v>
      </c>
      <c r="O262" s="111">
        <v>3.5876839640058305</v>
      </c>
      <c r="P262" s="111">
        <v>3.6310914698703018</v>
      </c>
      <c r="Q262" s="111">
        <v>3.9397828409264499</v>
      </c>
      <c r="R262" s="111">
        <v>3.8744060323636162</v>
      </c>
      <c r="S262" s="111">
        <v>3.820722070042712</v>
      </c>
      <c r="T262" s="111">
        <v>3.9779915717782677</v>
      </c>
      <c r="U262" s="111">
        <v>4.0558612992876224</v>
      </c>
      <c r="V262" s="111">
        <v>4.1878568954477888</v>
      </c>
      <c r="W262" s="111">
        <v>4.3367333291442183</v>
      </c>
      <c r="X262" s="111">
        <v>4.1171788668012672</v>
      </c>
      <c r="Y262" s="111">
        <v>3.851977420256413</v>
      </c>
      <c r="Z262" s="111">
        <v>3.9488598602292146</v>
      </c>
      <c r="AA262" s="111">
        <v>4.2607580881740006</v>
      </c>
      <c r="AB262" s="111">
        <v>4.6709906079172896</v>
      </c>
      <c r="AC262" s="111">
        <v>4.9760916973114346</v>
      </c>
      <c r="AD262" s="111">
        <v>5.5367266017358521</v>
      </c>
      <c r="AE262" s="111">
        <v>5.8934758974056685</v>
      </c>
      <c r="AF262" s="111">
        <v>6.4311889704320713</v>
      </c>
      <c r="AG262" s="111">
        <v>6.4202936010354144</v>
      </c>
      <c r="AH262" s="111">
        <v>6.3714736925397775</v>
      </c>
      <c r="AI262" s="111">
        <v>6.0573308759892104</v>
      </c>
      <c r="AJ262" s="111">
        <v>6.0316525248792736</v>
      </c>
      <c r="AK262" s="111">
        <v>6.1187087092200292</v>
      </c>
      <c r="AL262" s="111">
        <v>6.3139031486549602</v>
      </c>
      <c r="AM262" s="111">
        <v>6.2168457355154763</v>
      </c>
      <c r="AN262" s="111">
        <v>6.4002843586638001</v>
      </c>
      <c r="AO262" s="111">
        <v>6.4185338229785085</v>
      </c>
      <c r="AP262" s="111">
        <v>6.3512967693779556</v>
      </c>
      <c r="AQ262" s="111">
        <v>6.2401798932595511</v>
      </c>
      <c r="AR262" s="111">
        <v>6.1443898556809264</v>
      </c>
      <c r="AS262" s="111">
        <v>6.1377790844196625</v>
      </c>
      <c r="AT262" s="111">
        <v>6.2918209631176545</v>
      </c>
      <c r="AU262" s="111">
        <v>6.3602688130871874</v>
      </c>
      <c r="AV262" s="111">
        <v>6.4766670470421701</v>
      </c>
      <c r="AW262" s="111">
        <v>6.5521888614432555</v>
      </c>
      <c r="AX262" s="111">
        <v>6.5625296568268663</v>
      </c>
      <c r="AY262" s="111">
        <v>6.6216528218792767</v>
      </c>
      <c r="AZ262" s="111">
        <v>6.1571927166429496</v>
      </c>
      <c r="BA262" s="111">
        <v>5.663641479725765</v>
      </c>
      <c r="BB262" s="111">
        <v>5.8278264705435561</v>
      </c>
      <c r="BC262" s="112">
        <v>5.678189373432776</v>
      </c>
      <c r="BD262" s="80">
        <v>5.6874964653312645</v>
      </c>
      <c r="BE262" s="80">
        <v>5.7085540777007298</v>
      </c>
      <c r="BF262" s="80">
        <v>5.8634155039155207</v>
      </c>
      <c r="BG262" s="80">
        <v>6.1748592825857607</v>
      </c>
      <c r="BH262" s="80">
        <v>6.3897468691337531</v>
      </c>
      <c r="BI262" s="80">
        <v>6.4627457455958783</v>
      </c>
      <c r="BJ262" s="80">
        <v>6.4446939360363258</v>
      </c>
      <c r="BK262" s="124">
        <f t="array" ref="BK262">TREND(AZ262:BJ262,AZ249:BJ249,BK249)</f>
        <v>6.4137934407735884</v>
      </c>
    </row>
    <row r="263" spans="1:63">
      <c r="A263" s="46"/>
      <c r="C263" s="51" t="s">
        <v>352</v>
      </c>
      <c r="D263" s="113"/>
      <c r="E263" s="113"/>
      <c r="F263" s="113"/>
      <c r="G263" s="113"/>
      <c r="H263" s="113"/>
      <c r="I263" s="113"/>
      <c r="J263" s="113"/>
      <c r="K263" s="113"/>
      <c r="L263" s="113"/>
      <c r="M263" s="113"/>
      <c r="N263" s="111">
        <f t="shared" ref="N263:BB263" si="264">N262/N130</f>
        <v>0.19759462669759878</v>
      </c>
      <c r="O263" s="111">
        <f t="shared" si="264"/>
        <v>0.19908572116697543</v>
      </c>
      <c r="P263" s="111">
        <f t="shared" si="264"/>
        <v>0.19795947520364079</v>
      </c>
      <c r="Q263" s="111">
        <f t="shared" si="264"/>
        <v>0.20404924595641444</v>
      </c>
      <c r="R263" s="111">
        <f t="shared" si="264"/>
        <v>0.20758267248685283</v>
      </c>
      <c r="S263" s="111">
        <f t="shared" si="264"/>
        <v>0.2082977369643732</v>
      </c>
      <c r="T263" s="111">
        <f t="shared" si="264"/>
        <v>0.20775948168538669</v>
      </c>
      <c r="U263" s="111">
        <f t="shared" si="264"/>
        <v>0.21544736600678993</v>
      </c>
      <c r="V263" s="111">
        <f t="shared" si="264"/>
        <v>0.21510495690294723</v>
      </c>
      <c r="W263" s="111">
        <f t="shared" si="264"/>
        <v>0.22092600684389135</v>
      </c>
      <c r="X263" s="111">
        <f t="shared" si="264"/>
        <v>0.20974125395069065</v>
      </c>
      <c r="Y263" s="111">
        <f t="shared" si="264"/>
        <v>0.2046170536595121</v>
      </c>
      <c r="Z263" s="111">
        <f t="shared" si="264"/>
        <v>0.2152835399686639</v>
      </c>
      <c r="AA263" s="111">
        <f t="shared" si="264"/>
        <v>0.22633148412901791</v>
      </c>
      <c r="AB263" s="111">
        <f t="shared" si="264"/>
        <v>0.23795406004734077</v>
      </c>
      <c r="AC263" s="111">
        <f t="shared" si="264"/>
        <v>0.25349681083411113</v>
      </c>
      <c r="AD263" s="111">
        <f t="shared" si="264"/>
        <v>0.27528783600924062</v>
      </c>
      <c r="AE263" s="111">
        <f t="shared" si="264"/>
        <v>0.26351216392529736</v>
      </c>
      <c r="AF263" s="111">
        <f t="shared" si="264"/>
        <v>0.27006823822216547</v>
      </c>
      <c r="AG263" s="111">
        <f t="shared" si="264"/>
        <v>0.252546734784378</v>
      </c>
      <c r="AH263" s="111">
        <f t="shared" si="264"/>
        <v>0.25547720253171785</v>
      </c>
      <c r="AI263" s="111">
        <f t="shared" si="264"/>
        <v>0.24767471116373405</v>
      </c>
      <c r="AJ263" s="111">
        <f t="shared" si="264"/>
        <v>0.25329029802291475</v>
      </c>
      <c r="AK263" s="111">
        <f t="shared" si="264"/>
        <v>0.25184120403936588</v>
      </c>
      <c r="AL263" s="111">
        <f t="shared" si="264"/>
        <v>0.25481274763929196</v>
      </c>
      <c r="AM263" s="111">
        <f t="shared" si="264"/>
        <v>0.24454397084105531</v>
      </c>
      <c r="AN263" s="111">
        <f t="shared" si="264"/>
        <v>0.24403696838198477</v>
      </c>
      <c r="AO263" s="111">
        <f t="shared" si="264"/>
        <v>0.23887094014501173</v>
      </c>
      <c r="AP263" s="111">
        <f t="shared" si="264"/>
        <v>0.22949747674338952</v>
      </c>
      <c r="AQ263" s="111">
        <f t="shared" si="264"/>
        <v>0.2216169721480796</v>
      </c>
      <c r="AR263" s="111">
        <f t="shared" si="264"/>
        <v>0.21821503527234046</v>
      </c>
      <c r="AS263" s="111">
        <f t="shared" si="264"/>
        <v>0.21923301702419803</v>
      </c>
      <c r="AT263" s="111">
        <f t="shared" si="264"/>
        <v>0.22218137193900978</v>
      </c>
      <c r="AU263" s="111">
        <f t="shared" si="264"/>
        <v>0.22332953454218285</v>
      </c>
      <c r="AV263" s="111">
        <f t="shared" si="264"/>
        <v>0.22116894142980659</v>
      </c>
      <c r="AW263" s="111">
        <f t="shared" si="264"/>
        <v>0.22623399148688819</v>
      </c>
      <c r="AX263" s="111">
        <f t="shared" si="264"/>
        <v>0.22659103849274451</v>
      </c>
      <c r="AY263" s="111">
        <f t="shared" si="264"/>
        <v>0.22611999883482597</v>
      </c>
      <c r="AZ263" s="111">
        <f t="shared" si="264"/>
        <v>0.21498427792553648</v>
      </c>
      <c r="BA263" s="111">
        <f t="shared" si="264"/>
        <v>0.21594945150269629</v>
      </c>
      <c r="BB263" s="111">
        <f t="shared" si="264"/>
        <v>0.22085473747303871</v>
      </c>
      <c r="BC263" s="112"/>
      <c r="BD263" s="80"/>
      <c r="BE263" s="80"/>
      <c r="BF263" s="80"/>
      <c r="BG263" s="80"/>
      <c r="BH263" s="80"/>
      <c r="BI263" s="80"/>
      <c r="BJ263" s="80"/>
      <c r="BK263" s="124"/>
    </row>
    <row r="264" spans="1:63">
      <c r="A264" s="46"/>
      <c r="C264" s="51" t="s">
        <v>353</v>
      </c>
      <c r="D264" s="113"/>
      <c r="E264" s="113"/>
      <c r="F264" s="113"/>
      <c r="G264" s="113"/>
      <c r="H264" s="113"/>
      <c r="I264" s="113"/>
      <c r="J264" s="113"/>
      <c r="K264" s="113"/>
      <c r="L264" s="113"/>
      <c r="M264" s="113"/>
      <c r="N264" s="111">
        <f>N263*100</f>
        <v>19.759462669759877</v>
      </c>
      <c r="O264" s="111">
        <f t="shared" ref="O264:BB264" si="265">O263*100</f>
        <v>19.908572116697542</v>
      </c>
      <c r="P264" s="111">
        <f t="shared" si="265"/>
        <v>19.795947520364081</v>
      </c>
      <c r="Q264" s="111">
        <f t="shared" si="265"/>
        <v>20.404924595641443</v>
      </c>
      <c r="R264" s="111">
        <f t="shared" si="265"/>
        <v>20.758267248685282</v>
      </c>
      <c r="S264" s="111">
        <f t="shared" si="265"/>
        <v>20.829773696437321</v>
      </c>
      <c r="T264" s="111">
        <f t="shared" si="265"/>
        <v>20.775948168538669</v>
      </c>
      <c r="U264" s="111">
        <f t="shared" si="265"/>
        <v>21.544736600678995</v>
      </c>
      <c r="V264" s="111">
        <f t="shared" si="265"/>
        <v>21.510495690294722</v>
      </c>
      <c r="W264" s="111">
        <f t="shared" si="265"/>
        <v>22.092600684389136</v>
      </c>
      <c r="X264" s="111">
        <f t="shared" si="265"/>
        <v>20.974125395069066</v>
      </c>
      <c r="Y264" s="111">
        <f t="shared" si="265"/>
        <v>20.461705365951211</v>
      </c>
      <c r="Z264" s="111">
        <f t="shared" si="265"/>
        <v>21.52835399686639</v>
      </c>
      <c r="AA264" s="111">
        <f t="shared" si="265"/>
        <v>22.633148412901789</v>
      </c>
      <c r="AB264" s="111">
        <f t="shared" si="265"/>
        <v>23.795406004734076</v>
      </c>
      <c r="AC264" s="111">
        <f t="shared" si="265"/>
        <v>25.349681083411113</v>
      </c>
      <c r="AD264" s="111">
        <f t="shared" si="265"/>
        <v>27.528783600924061</v>
      </c>
      <c r="AE264" s="111">
        <f t="shared" si="265"/>
        <v>26.351216392529736</v>
      </c>
      <c r="AF264" s="111">
        <f t="shared" si="265"/>
        <v>27.006823822216546</v>
      </c>
      <c r="AG264" s="111">
        <f t="shared" si="265"/>
        <v>25.254673478437802</v>
      </c>
      <c r="AH264" s="111">
        <f t="shared" si="265"/>
        <v>25.547720253171786</v>
      </c>
      <c r="AI264" s="111">
        <f t="shared" si="265"/>
        <v>24.767471116373404</v>
      </c>
      <c r="AJ264" s="111">
        <f t="shared" si="265"/>
        <v>25.329029802291476</v>
      </c>
      <c r="AK264" s="111">
        <f t="shared" si="265"/>
        <v>25.184120403936589</v>
      </c>
      <c r="AL264" s="111">
        <f t="shared" si="265"/>
        <v>25.481274763929196</v>
      </c>
      <c r="AM264" s="111">
        <f t="shared" si="265"/>
        <v>24.45439708410553</v>
      </c>
      <c r="AN264" s="111">
        <f t="shared" si="265"/>
        <v>24.403696838198478</v>
      </c>
      <c r="AO264" s="111">
        <f t="shared" si="265"/>
        <v>23.887094014501173</v>
      </c>
      <c r="AP264" s="111">
        <f t="shared" si="265"/>
        <v>22.949747674338951</v>
      </c>
      <c r="AQ264" s="111">
        <f t="shared" si="265"/>
        <v>22.161697214807958</v>
      </c>
      <c r="AR264" s="111">
        <f t="shared" si="265"/>
        <v>21.821503527234047</v>
      </c>
      <c r="AS264" s="111">
        <f t="shared" si="265"/>
        <v>21.923301702419803</v>
      </c>
      <c r="AT264" s="111">
        <f t="shared" si="265"/>
        <v>22.218137193900979</v>
      </c>
      <c r="AU264" s="111">
        <f t="shared" si="265"/>
        <v>22.332953454218284</v>
      </c>
      <c r="AV264" s="111">
        <f t="shared" si="265"/>
        <v>22.116894142980659</v>
      </c>
      <c r="AW264" s="111">
        <f t="shared" si="265"/>
        <v>22.623399148688819</v>
      </c>
      <c r="AX264" s="111">
        <f t="shared" si="265"/>
        <v>22.659103849274452</v>
      </c>
      <c r="AY264" s="111">
        <f t="shared" si="265"/>
        <v>22.611999883482596</v>
      </c>
      <c r="AZ264" s="111">
        <f t="shared" si="265"/>
        <v>21.498427792553649</v>
      </c>
      <c r="BA264" s="111">
        <f t="shared" si="265"/>
        <v>21.594945150269631</v>
      </c>
      <c r="BB264" s="111">
        <f t="shared" si="265"/>
        <v>22.085473747303872</v>
      </c>
      <c r="BC264" s="112"/>
      <c r="BD264" s="80"/>
      <c r="BE264" s="80"/>
      <c r="BF264" s="80"/>
      <c r="BG264" s="80"/>
      <c r="BH264" s="80"/>
      <c r="BI264" s="80"/>
      <c r="BJ264" s="80"/>
      <c r="BK264" s="124"/>
    </row>
    <row r="265" spans="1:63" s="51" customFormat="1">
      <c r="A265" s="38"/>
      <c r="C265" s="51" t="s">
        <v>354</v>
      </c>
      <c r="D265" s="125"/>
      <c r="E265" s="125"/>
      <c r="F265" s="125"/>
      <c r="G265" s="125"/>
      <c r="H265" s="125"/>
      <c r="I265" s="125"/>
      <c r="J265" s="125"/>
      <c r="K265" s="125"/>
      <c r="L265" s="125"/>
      <c r="M265" s="125"/>
      <c r="N265" s="115">
        <f t="shared" ref="N265:AS265" si="266">N130/N262</f>
        <v>5.0608663641973033</v>
      </c>
      <c r="O265" s="115">
        <f t="shared" si="266"/>
        <v>5.0229619388991171</v>
      </c>
      <c r="P265" s="115">
        <f t="shared" si="266"/>
        <v>5.0515389524613594</v>
      </c>
      <c r="Q265" s="115">
        <f t="shared" si="266"/>
        <v>4.9007777280078901</v>
      </c>
      <c r="R265" s="115">
        <f t="shared" si="266"/>
        <v>4.817357768931001</v>
      </c>
      <c r="S265" s="115">
        <f t="shared" si="266"/>
        <v>4.800820280496076</v>
      </c>
      <c r="T265" s="115">
        <f t="shared" si="266"/>
        <v>4.8132580611378071</v>
      </c>
      <c r="U265" s="115">
        <f t="shared" si="266"/>
        <v>4.6415048767339515</v>
      </c>
      <c r="V265" s="115">
        <f t="shared" si="266"/>
        <v>4.6488933328077042</v>
      </c>
      <c r="W265" s="115">
        <f t="shared" si="266"/>
        <v>4.5264023655965984</v>
      </c>
      <c r="X265" s="115">
        <f t="shared" si="266"/>
        <v>4.7677792573658211</v>
      </c>
      <c r="Y265" s="115">
        <f t="shared" si="266"/>
        <v>4.8871781804855079</v>
      </c>
      <c r="Z265" s="115">
        <f t="shared" si="266"/>
        <v>4.6450369598416925</v>
      </c>
      <c r="AA265" s="115">
        <f t="shared" si="266"/>
        <v>4.4182982489080498</v>
      </c>
      <c r="AB265" s="115">
        <f t="shared" si="266"/>
        <v>4.2024918583068125</v>
      </c>
      <c r="AC265" s="115">
        <f t="shared" si="266"/>
        <v>3.9448228035279</v>
      </c>
      <c r="AD265" s="115">
        <f t="shared" si="266"/>
        <v>3.6325615199591779</v>
      </c>
      <c r="AE265" s="115">
        <f t="shared" si="266"/>
        <v>3.7948912304613325</v>
      </c>
      <c r="AF265" s="115">
        <f t="shared" si="266"/>
        <v>3.7027678877860968</v>
      </c>
      <c r="AG265" s="115">
        <f t="shared" si="266"/>
        <v>3.9596631524608328</v>
      </c>
      <c r="AH265" s="115">
        <f t="shared" si="266"/>
        <v>3.9142435806022595</v>
      </c>
      <c r="AI265" s="115">
        <f t="shared" si="266"/>
        <v>4.0375539161885401</v>
      </c>
      <c r="AJ265" s="115">
        <f t="shared" si="266"/>
        <v>3.9480390990322562</v>
      </c>
      <c r="AK265" s="115">
        <f t="shared" si="266"/>
        <v>3.9707561112346323</v>
      </c>
      <c r="AL265" s="115">
        <f t="shared" si="266"/>
        <v>3.9244504416065586</v>
      </c>
      <c r="AM265" s="115">
        <f t="shared" si="266"/>
        <v>4.0892441410872635</v>
      </c>
      <c r="AN265" s="115">
        <f t="shared" si="266"/>
        <v>4.0977398081536807</v>
      </c>
      <c r="AO265" s="115">
        <f t="shared" si="266"/>
        <v>4.186361050837446</v>
      </c>
      <c r="AP265" s="115">
        <f t="shared" si="266"/>
        <v>4.357346382148422</v>
      </c>
      <c r="AQ265" s="115">
        <f t="shared" si="266"/>
        <v>4.5122897867759963</v>
      </c>
      <c r="AR265" s="115">
        <f t="shared" si="266"/>
        <v>4.5826356499769272</v>
      </c>
      <c r="AS265" s="115">
        <f t="shared" si="266"/>
        <v>4.5613567407578213</v>
      </c>
      <c r="AT265" s="115">
        <f t="shared" ref="AT265:BJ265" si="267">AT130/AT262</f>
        <v>4.5008273703274568</v>
      </c>
      <c r="AU265" s="115">
        <f t="shared" si="267"/>
        <v>4.4776881035907881</v>
      </c>
      <c r="AV265" s="115">
        <f t="shared" si="267"/>
        <v>4.5214305116045175</v>
      </c>
      <c r="AW265" s="115">
        <f t="shared" si="267"/>
        <v>4.420202257970403</v>
      </c>
      <c r="AX265" s="115">
        <f t="shared" si="267"/>
        <v>4.4132371988401484</v>
      </c>
      <c r="AY265" s="115">
        <f t="shared" si="267"/>
        <v>4.4224305906284327</v>
      </c>
      <c r="AZ265" s="115">
        <f t="shared" si="267"/>
        <v>4.6515029361652545</v>
      </c>
      <c r="BA265" s="115">
        <f t="shared" si="267"/>
        <v>4.6307133129602516</v>
      </c>
      <c r="BB265" s="115">
        <f t="shared" si="267"/>
        <v>4.5278630263572088</v>
      </c>
      <c r="BC265" s="115">
        <f t="shared" si="267"/>
        <v>4.5338396286061773</v>
      </c>
      <c r="BD265" s="115">
        <f t="shared" si="267"/>
        <v>4.4132598856108549</v>
      </c>
      <c r="BE265" s="115">
        <f t="shared" si="267"/>
        <v>4.4533518740422373</v>
      </c>
      <c r="BF265" s="115">
        <f t="shared" si="267"/>
        <v>4.4454976766687544</v>
      </c>
      <c r="BG265" s="115">
        <f t="shared" si="267"/>
        <v>4.3776220255306804</v>
      </c>
      <c r="BH265" s="115">
        <f t="shared" si="267"/>
        <v>4.280764255643855</v>
      </c>
      <c r="BI265" s="115">
        <f t="shared" si="267"/>
        <v>4.2822046680173589</v>
      </c>
      <c r="BJ265" s="115">
        <f t="shared" si="267"/>
        <v>4.3191655455277935</v>
      </c>
      <c r="BK265" s="65"/>
    </row>
    <row r="266" spans="1:63" s="51" customFormat="1">
      <c r="A266" s="38"/>
      <c r="B266" s="126">
        <v>0.95</v>
      </c>
      <c r="C266" s="51" t="s">
        <v>355</v>
      </c>
      <c r="D266" s="117">
        <f t="shared" ref="D266:L266" si="268">E266*$B266</f>
        <v>4.9117474622851178</v>
      </c>
      <c r="E266" s="117">
        <f t="shared" si="268"/>
        <v>5.1702604866159136</v>
      </c>
      <c r="F266" s="117">
        <f t="shared" si="268"/>
        <v>5.4423794595956991</v>
      </c>
      <c r="G266" s="117">
        <f t="shared" si="268"/>
        <v>5.728820483784947</v>
      </c>
      <c r="H266" s="117">
        <f t="shared" si="268"/>
        <v>6.0303373513525758</v>
      </c>
      <c r="I266" s="117">
        <f t="shared" si="268"/>
        <v>6.3477235277395536</v>
      </c>
      <c r="J266" s="117">
        <f t="shared" si="268"/>
        <v>6.6818142397258464</v>
      </c>
      <c r="K266" s="117">
        <f t="shared" si="268"/>
        <v>7.0334886733956283</v>
      </c>
      <c r="L266" s="117">
        <f t="shared" si="268"/>
        <v>7.4036722877848726</v>
      </c>
      <c r="M266" s="117">
        <f>N266*$B266</f>
        <v>7.7933392502998666</v>
      </c>
      <c r="N266" s="80">
        <f t="shared" ref="N266:AS266" si="269">(N122*1000000000/1.609)/(N262*1000000*$N$9)</f>
        <v>8.2035150003156492</v>
      </c>
      <c r="O266" s="80">
        <f t="shared" si="269"/>
        <v>8.1420730456906885</v>
      </c>
      <c r="P266" s="80">
        <f t="shared" si="269"/>
        <v>8.1883955411986786</v>
      </c>
      <c r="Q266" s="80">
        <f t="shared" si="269"/>
        <v>7.9440160462135063</v>
      </c>
      <c r="R266" s="80">
        <f t="shared" si="269"/>
        <v>7.8087947547654109</v>
      </c>
      <c r="S266" s="80">
        <f t="shared" si="269"/>
        <v>7.7819879741313258</v>
      </c>
      <c r="T266" s="80">
        <f t="shared" si="269"/>
        <v>7.8021492494392266</v>
      </c>
      <c r="U266" s="80">
        <f t="shared" si="269"/>
        <v>7.5237424069711629</v>
      </c>
      <c r="V266" s="80">
        <f t="shared" si="269"/>
        <v>7.5357188761897529</v>
      </c>
      <c r="W266" s="80">
        <f t="shared" si="269"/>
        <v>7.337164633772236</v>
      </c>
      <c r="X266" s="80">
        <f t="shared" si="269"/>
        <v>7.7284294508728673</v>
      </c>
      <c r="Y266" s="80">
        <f t="shared" si="269"/>
        <v>7.9219715810826701</v>
      </c>
      <c r="Z266" s="80">
        <f t="shared" si="269"/>
        <v>7.5294678094361815</v>
      </c>
      <c r="AA266" s="80">
        <f t="shared" si="269"/>
        <v>7.1619310514108827</v>
      </c>
      <c r="AB266" s="80">
        <f t="shared" si="269"/>
        <v>6.8121152619670875</v>
      </c>
      <c r="AC266" s="80">
        <f t="shared" si="269"/>
        <v>6.3944413295056757</v>
      </c>
      <c r="AD266" s="80">
        <f t="shared" si="269"/>
        <v>5.8882750055149966</v>
      </c>
      <c r="AE266" s="80">
        <f t="shared" si="269"/>
        <v>6.1514066749307581</v>
      </c>
      <c r="AF266" s="80">
        <f t="shared" si="269"/>
        <v>6.002077455557985</v>
      </c>
      <c r="AG266" s="80">
        <f t="shared" si="269"/>
        <v>6.4184970970996398</v>
      </c>
      <c r="AH266" s="80">
        <f t="shared" si="269"/>
        <v>6.3448733117166363</v>
      </c>
      <c r="AI266" s="80">
        <f t="shared" si="269"/>
        <v>6.5447557260859108</v>
      </c>
      <c r="AJ266" s="80">
        <f t="shared" si="269"/>
        <v>6.3996548495863665</v>
      </c>
      <c r="AK266" s="80">
        <f t="shared" si="269"/>
        <v>6.4364784558532566</v>
      </c>
      <c r="AL266" s="80">
        <f t="shared" si="269"/>
        <v>6.3614183321398716</v>
      </c>
      <c r="AM266" s="80">
        <f t="shared" si="269"/>
        <v>6.6285440549630019</v>
      </c>
      <c r="AN266" s="80">
        <f t="shared" si="269"/>
        <v>6.6423152805203642</v>
      </c>
      <c r="AO266" s="80">
        <f t="shared" si="269"/>
        <v>6.7859676991746154</v>
      </c>
      <c r="AP266" s="80">
        <f t="shared" si="269"/>
        <v>7.0631298744430033</v>
      </c>
      <c r="AQ266" s="80">
        <f t="shared" si="269"/>
        <v>7.314288560049568</v>
      </c>
      <c r="AR266" s="80">
        <f t="shared" si="269"/>
        <v>7.4283171279764986</v>
      </c>
      <c r="AS266" s="80">
        <f t="shared" si="269"/>
        <v>7.3938246441985829</v>
      </c>
      <c r="AT266" s="80">
        <f t="shared" ref="AT266:BJ266" si="270">(AT122*1000000000/1.609)/(AT262*1000000*$N$9)</f>
        <v>7.2957083213100757</v>
      </c>
      <c r="AU266" s="80">
        <f t="shared" si="270"/>
        <v>7.2582002529063221</v>
      </c>
      <c r="AV266" s="80">
        <f t="shared" si="270"/>
        <v>7.329105405199841</v>
      </c>
      <c r="AW266" s="80">
        <f t="shared" si="270"/>
        <v>7.1650173939024064</v>
      </c>
      <c r="AX266" s="80">
        <f t="shared" si="270"/>
        <v>7.1537272386322845</v>
      </c>
      <c r="AY266" s="80">
        <f t="shared" si="270"/>
        <v>7.1686294553698184</v>
      </c>
      <c r="AZ266" s="80">
        <f t="shared" si="270"/>
        <v>7.539948966207537</v>
      </c>
      <c r="BA266" s="80">
        <f t="shared" si="270"/>
        <v>7.5062496006167603</v>
      </c>
      <c r="BB266" s="80">
        <f t="shared" si="270"/>
        <v>7.3395323217524622</v>
      </c>
      <c r="BC266" s="80">
        <f t="shared" si="270"/>
        <v>7.3492202175932198</v>
      </c>
      <c r="BD266" s="80">
        <f t="shared" si="270"/>
        <v>7.1537640132179794</v>
      </c>
      <c r="BE266" s="80">
        <f t="shared" si="270"/>
        <v>7.2187519431139497</v>
      </c>
      <c r="BF266" s="80">
        <f t="shared" si="270"/>
        <v>7.2060205209952723</v>
      </c>
      <c r="BG266" s="80">
        <f t="shared" si="270"/>
        <v>7.0959960939116886</v>
      </c>
      <c r="BH266" s="80">
        <f t="shared" si="270"/>
        <v>6.9389925077698287</v>
      </c>
      <c r="BI266" s="80">
        <f t="shared" si="270"/>
        <v>6.9413273737122063</v>
      </c>
      <c r="BJ266" s="80">
        <f t="shared" si="270"/>
        <v>7.0012398652228889</v>
      </c>
      <c r="BK266" s="65"/>
    </row>
    <row r="267" spans="1:63" s="51" customFormat="1">
      <c r="A267" s="38"/>
      <c r="C267" s="51" t="s">
        <v>334</v>
      </c>
      <c r="D267" s="127">
        <f>D262/D282</f>
        <v>0.67732885678019306</v>
      </c>
      <c r="E267" s="127">
        <f t="shared" ref="E267:M267" si="271">E262/E282</f>
        <v>0.65575683690575504</v>
      </c>
      <c r="F267" s="127">
        <f t="shared" si="271"/>
        <v>0.64423735284261763</v>
      </c>
      <c r="G267" s="127">
        <f t="shared" si="271"/>
        <v>0.63681658936498386</v>
      </c>
      <c r="H267" s="127">
        <f t="shared" si="271"/>
        <v>0.67154064124436152</v>
      </c>
      <c r="I267" s="127">
        <f t="shared" si="271"/>
        <v>0.66232830515436014</v>
      </c>
      <c r="J267" s="127">
        <f t="shared" si="271"/>
        <v>0.67562513709499206</v>
      </c>
      <c r="K267" s="127">
        <f t="shared" si="271"/>
        <v>0.65821867271035628</v>
      </c>
      <c r="L267" s="127">
        <f t="shared" si="271"/>
        <v>0.66089299109418176</v>
      </c>
      <c r="M267" s="127">
        <f t="shared" si="271"/>
        <v>0.65856790575962132</v>
      </c>
      <c r="N267" s="78">
        <f>N262/N$282</f>
        <v>0.72116702696372859</v>
      </c>
      <c r="O267" s="78">
        <f t="shared" ref="O267:BJ267" si="272">O262/O$282</f>
        <v>0.72358215748980481</v>
      </c>
      <c r="P267" s="78">
        <f t="shared" si="272"/>
        <v>0.72316033029043902</v>
      </c>
      <c r="Q267" s="78">
        <f t="shared" si="272"/>
        <v>0.72896863421398395</v>
      </c>
      <c r="R267" s="78">
        <f t="shared" si="272"/>
        <v>0.73562981770216018</v>
      </c>
      <c r="S267" s="78">
        <f t="shared" si="272"/>
        <v>0.73785991264121964</v>
      </c>
      <c r="T267" s="78">
        <f t="shared" si="272"/>
        <v>0.74305185340073276</v>
      </c>
      <c r="U267" s="78">
        <f t="shared" si="272"/>
        <v>0.74207864009368707</v>
      </c>
      <c r="V267" s="78">
        <f t="shared" si="272"/>
        <v>0.74416947218011464</v>
      </c>
      <c r="W267" s="78">
        <f t="shared" si="272"/>
        <v>0.74649995581704287</v>
      </c>
      <c r="X267" s="78">
        <f t="shared" si="272"/>
        <v>0.73192913051313357</v>
      </c>
      <c r="Y267" s="78">
        <f t="shared" si="272"/>
        <v>0.72242052773792209</v>
      </c>
      <c r="Z267" s="78">
        <f t="shared" si="272"/>
        <v>0.71628554426899937</v>
      </c>
      <c r="AA267" s="78">
        <f t="shared" si="272"/>
        <v>0.71495417618770574</v>
      </c>
      <c r="AB267" s="78">
        <f t="shared" si="272"/>
        <v>0.71609310862440179</v>
      </c>
      <c r="AC267" s="78">
        <f t="shared" si="272"/>
        <v>0.72465656101380627</v>
      </c>
      <c r="AD267" s="78">
        <f t="shared" si="272"/>
        <v>0.72635483910550169</v>
      </c>
      <c r="AE267" s="78">
        <f t="shared" si="272"/>
        <v>0.71747582929416054</v>
      </c>
      <c r="AF267" s="78">
        <f t="shared" si="272"/>
        <v>0.70691488949473169</v>
      </c>
      <c r="AG267" s="78">
        <f t="shared" si="272"/>
        <v>0.65282536419335935</v>
      </c>
      <c r="AH267" s="78">
        <f t="shared" si="272"/>
        <v>0.61456056532521119</v>
      </c>
      <c r="AI267" s="78">
        <f t="shared" si="272"/>
        <v>0.5812867458731148</v>
      </c>
      <c r="AJ267" s="78">
        <f t="shared" si="272"/>
        <v>0.55560881795094219</v>
      </c>
      <c r="AK267" s="78">
        <f t="shared" si="272"/>
        <v>0.53096802268368171</v>
      </c>
      <c r="AL267" s="78">
        <f t="shared" si="272"/>
        <v>0.50040137418509556</v>
      </c>
      <c r="AM267" s="78">
        <f t="shared" si="272"/>
        <v>0.47262346691767693</v>
      </c>
      <c r="AN267" s="78">
        <f t="shared" si="272"/>
        <v>0.45524406705975518</v>
      </c>
      <c r="AO267" s="78">
        <f t="shared" si="272"/>
        <v>0.43761435155889661</v>
      </c>
      <c r="AP267" s="78">
        <f t="shared" si="272"/>
        <v>0.42823910642246615</v>
      </c>
      <c r="AQ267" s="78">
        <f t="shared" si="272"/>
        <v>0.41071891872806088</v>
      </c>
      <c r="AR267" s="78">
        <f t="shared" si="272"/>
        <v>0.40122476668317586</v>
      </c>
      <c r="AS267" s="78">
        <f t="shared" si="272"/>
        <v>0.38998438674534647</v>
      </c>
      <c r="AT267" s="78">
        <f t="shared" si="272"/>
        <v>0.37899380907659602</v>
      </c>
      <c r="AU267" s="78">
        <f t="shared" si="272"/>
        <v>0.36588870067206647</v>
      </c>
      <c r="AV267" s="78">
        <f t="shared" si="272"/>
        <v>0.35665561129664175</v>
      </c>
      <c r="AW267" s="78">
        <f t="shared" si="272"/>
        <v>0.34441627306457206</v>
      </c>
      <c r="AX267" s="78">
        <f t="shared" si="272"/>
        <v>0.33149283385199096</v>
      </c>
      <c r="AY267" s="78">
        <f t="shared" si="272"/>
        <v>0.3204824722599911</v>
      </c>
      <c r="AZ267" s="78">
        <f t="shared" si="272"/>
        <v>0.30580792752653602</v>
      </c>
      <c r="BA267" s="78">
        <f t="shared" si="272"/>
        <v>0.28645544376964738</v>
      </c>
      <c r="BB267" s="78">
        <f t="shared" si="272"/>
        <v>0.28602395463645286</v>
      </c>
      <c r="BC267" s="78">
        <f t="shared" si="272"/>
        <v>0.27538060799928665</v>
      </c>
      <c r="BD267" s="78">
        <f t="shared" si="272"/>
        <v>0.26845326430809341</v>
      </c>
      <c r="BE267" s="78">
        <f t="shared" si="272"/>
        <v>0.26466651725893842</v>
      </c>
      <c r="BF267" s="78">
        <f t="shared" si="272"/>
        <v>0.26303559613927113</v>
      </c>
      <c r="BG267" s="78">
        <f t="shared" si="272"/>
        <v>0.26548912760329313</v>
      </c>
      <c r="BH267" s="78">
        <f t="shared" si="272"/>
        <v>0.2638190771865897</v>
      </c>
      <c r="BI267" s="78">
        <f t="shared" si="272"/>
        <v>0.26426123043848387</v>
      </c>
      <c r="BJ267" s="78">
        <f t="shared" si="272"/>
        <v>0.26661368529762924</v>
      </c>
      <c r="BK267" s="65"/>
    </row>
    <row r="268" spans="1:63">
      <c r="BD268" s="80"/>
      <c r="BE268" s="80"/>
      <c r="BF268" s="80"/>
      <c r="BG268" s="80"/>
      <c r="BH268" s="80"/>
      <c r="BI268" s="80"/>
      <c r="BJ268" s="80"/>
    </row>
    <row r="269" spans="1:63">
      <c r="A269" s="46" t="s">
        <v>263</v>
      </c>
      <c r="C269" s="38" t="s">
        <v>356</v>
      </c>
      <c r="D269" s="113">
        <f t="shared" ref="D269:M269" si="273">$N269*D123/$N123*D271/$N271</f>
        <v>0.48125256524136528</v>
      </c>
      <c r="E269" s="113">
        <f t="shared" si="273"/>
        <v>0.46799676691245662</v>
      </c>
      <c r="F269" s="113">
        <f t="shared" si="273"/>
        <v>0.42324866480351919</v>
      </c>
      <c r="G269" s="113">
        <f t="shared" si="273"/>
        <v>0.37017742435118134</v>
      </c>
      <c r="H269" s="113">
        <f t="shared" si="273"/>
        <v>0.37198049140072897</v>
      </c>
      <c r="I269" s="113">
        <f t="shared" si="273"/>
        <v>0.33402719821767091</v>
      </c>
      <c r="J269" s="113">
        <f t="shared" si="273"/>
        <v>0.2956953526390162</v>
      </c>
      <c r="K269" s="113">
        <f t="shared" si="273"/>
        <v>0.25698216738179414</v>
      </c>
      <c r="L269" s="113">
        <f t="shared" si="273"/>
        <v>0.23402445454636409</v>
      </c>
      <c r="M269" s="113">
        <f t="shared" si="273"/>
        <v>0.21083699913653484</v>
      </c>
      <c r="N269" s="111">
        <v>0.20371533451343421</v>
      </c>
      <c r="O269" s="111">
        <v>0.19700621668503765</v>
      </c>
      <c r="P269" s="111">
        <v>0.183542170333166</v>
      </c>
      <c r="Q269" s="111">
        <v>0.19526892966783316</v>
      </c>
      <c r="R269" s="111">
        <v>0.21004227428874533</v>
      </c>
      <c r="S269" s="111">
        <v>0.24343938748407712</v>
      </c>
      <c r="T269" s="111">
        <v>0.30474292373500711</v>
      </c>
      <c r="U269" s="111">
        <v>0.30061071951723328</v>
      </c>
      <c r="V269" s="111">
        <v>0.30293297011823528</v>
      </c>
      <c r="W269" s="111">
        <v>0.32268903754231398</v>
      </c>
      <c r="X269" s="111">
        <v>0.37258263115460521</v>
      </c>
      <c r="Y269" s="111">
        <v>0.41261765703687664</v>
      </c>
      <c r="Z269" s="111">
        <v>0.42856046493323202</v>
      </c>
      <c r="AA269" s="111">
        <v>0.38775500298872123</v>
      </c>
      <c r="AB269" s="111">
        <v>0.37418397902078404</v>
      </c>
      <c r="AC269" s="111">
        <v>0.33433724631419554</v>
      </c>
      <c r="AD269" s="111">
        <v>0.32047663132016857</v>
      </c>
      <c r="AE269" s="111">
        <v>0.29422571247039037</v>
      </c>
      <c r="AF269" s="111">
        <v>0.2598068110944538</v>
      </c>
      <c r="AG269" s="111">
        <v>0.24097664990987702</v>
      </c>
      <c r="AH269" s="111">
        <v>0.23651343017304446</v>
      </c>
      <c r="AI269" s="111">
        <v>0.22879602755562473</v>
      </c>
      <c r="AJ269" s="111">
        <v>0.19512041851076095</v>
      </c>
      <c r="AK269" s="111">
        <v>0.16522952061439491</v>
      </c>
      <c r="AL269" s="111">
        <v>0.16121917754443646</v>
      </c>
      <c r="AM269" s="111">
        <v>0.1576532470024721</v>
      </c>
      <c r="AN269" s="111">
        <v>0.16380916052556463</v>
      </c>
      <c r="AO269" s="111">
        <v>0.1756122685563461</v>
      </c>
      <c r="AP269" s="111">
        <v>0.18055756515281296</v>
      </c>
      <c r="AQ269" s="111">
        <v>0.20000798384598845</v>
      </c>
      <c r="AR269" s="111">
        <v>0.19972636037911398</v>
      </c>
      <c r="AS269" s="111">
        <v>0.20441122955083277</v>
      </c>
      <c r="AT269" s="111">
        <v>0.2133220845592646</v>
      </c>
      <c r="AU269" s="111">
        <v>0.23232077768305892</v>
      </c>
      <c r="AV269" s="111">
        <v>0.21248589689331851</v>
      </c>
      <c r="AW269" s="111">
        <v>0.22229816753563159</v>
      </c>
      <c r="AX269" s="111">
        <v>0.20699644321525101</v>
      </c>
      <c r="AY269" s="111">
        <v>0.22074146094446251</v>
      </c>
      <c r="AZ269" s="111">
        <v>0.20210030729643652</v>
      </c>
      <c r="BA269" s="111">
        <v>0.19654742342602549</v>
      </c>
      <c r="BB269" s="111">
        <v>0.17342486358419118</v>
      </c>
      <c r="BC269" s="112">
        <v>0.17206251300141828</v>
      </c>
      <c r="BD269" s="80">
        <v>0.16674210484928542</v>
      </c>
      <c r="BE269" s="80">
        <v>0.15805949955114823</v>
      </c>
      <c r="BF269" s="80">
        <v>0.16247759940385742</v>
      </c>
      <c r="BG269" s="80">
        <v>0.16408026412782439</v>
      </c>
      <c r="BH269" s="80">
        <v>0.16556637457495221</v>
      </c>
      <c r="BI269" s="80">
        <v>0.16634753335368779</v>
      </c>
      <c r="BJ269" s="113">
        <v>0.16250380233639511</v>
      </c>
      <c r="BK269" s="124">
        <f t="array" ref="BK269">TREND(AZ269:BJ269,AZ225:BJ225,BK225)</f>
        <v>0.15203275930175408</v>
      </c>
    </row>
    <row r="270" spans="1:63" s="51" customFormat="1">
      <c r="A270" s="38"/>
      <c r="C270" s="51" t="s">
        <v>357</v>
      </c>
      <c r="D270" s="125"/>
      <c r="E270" s="125"/>
      <c r="F270" s="125"/>
      <c r="G270" s="125"/>
      <c r="H270" s="125"/>
      <c r="I270" s="125"/>
      <c r="J270" s="125"/>
      <c r="K270" s="125"/>
      <c r="L270" s="125"/>
      <c r="M270" s="125"/>
      <c r="N270" s="115">
        <f t="shared" ref="N270:AS270" si="274">N131/N269</f>
        <v>19.745690767990428</v>
      </c>
      <c r="O270" s="115">
        <f t="shared" si="274"/>
        <v>19.601411899471714</v>
      </c>
      <c r="P270" s="115">
        <f t="shared" si="274"/>
        <v>20.162668847614061</v>
      </c>
      <c r="Q270" s="115">
        <f t="shared" si="274"/>
        <v>19.775803588255776</v>
      </c>
      <c r="R270" s="115">
        <f t="shared" si="274"/>
        <v>19.916942978102949</v>
      </c>
      <c r="S270" s="115">
        <f t="shared" si="274"/>
        <v>21.150233958491096</v>
      </c>
      <c r="T270" s="115">
        <f t="shared" si="274"/>
        <v>20.591454341550484</v>
      </c>
      <c r="U270" s="115">
        <f t="shared" si="274"/>
        <v>20.874505107727085</v>
      </c>
      <c r="V270" s="115">
        <f t="shared" si="274"/>
        <v>20.183342861668759</v>
      </c>
      <c r="W270" s="115">
        <f t="shared" si="274"/>
        <v>19.944898187488167</v>
      </c>
      <c r="X270" s="115">
        <f t="shared" si="274"/>
        <v>20.728824572595858</v>
      </c>
      <c r="Y270" s="115">
        <f t="shared" si="274"/>
        <v>21.447215961504764</v>
      </c>
      <c r="Z270" s="115">
        <f t="shared" si="274"/>
        <v>21.400247457331027</v>
      </c>
      <c r="AA270" s="115">
        <f t="shared" si="274"/>
        <v>21.577542354091477</v>
      </c>
      <c r="AB270" s="115">
        <f t="shared" si="274"/>
        <v>21.500118794645509</v>
      </c>
      <c r="AC270" s="115">
        <f t="shared" si="274"/>
        <v>22.137527546196534</v>
      </c>
      <c r="AD270" s="115">
        <f t="shared" si="274"/>
        <v>22.090846283663051</v>
      </c>
      <c r="AE270" s="115">
        <f t="shared" si="274"/>
        <v>22.968081012566422</v>
      </c>
      <c r="AF270" s="115">
        <f t="shared" si="274"/>
        <v>22.914333827205379</v>
      </c>
      <c r="AG270" s="115">
        <f t="shared" si="274"/>
        <v>24.704883241701957</v>
      </c>
      <c r="AH270" s="115">
        <f t="shared" si="274"/>
        <v>23.810487192544318</v>
      </c>
      <c r="AI270" s="115">
        <f t="shared" si="274"/>
        <v>23.910380168947608</v>
      </c>
      <c r="AJ270" s="115">
        <f t="shared" si="274"/>
        <v>23.089331369753783</v>
      </c>
      <c r="AK270" s="115">
        <f t="shared" si="274"/>
        <v>22.397329401182031</v>
      </c>
      <c r="AL270" s="115">
        <f t="shared" si="274"/>
        <v>22.954465196796981</v>
      </c>
      <c r="AM270" s="115">
        <f t="shared" si="274"/>
        <v>23.473668131567063</v>
      </c>
      <c r="AN270" s="115">
        <f t="shared" si="274"/>
        <v>22.591532659875</v>
      </c>
      <c r="AO270" s="115">
        <f t="shared" si="274"/>
        <v>22.905575066410353</v>
      </c>
      <c r="AP270" s="115">
        <f t="shared" si="274"/>
        <v>23.169342123435392</v>
      </c>
      <c r="AQ270" s="115">
        <f t="shared" si="274"/>
        <v>22.525100815321078</v>
      </c>
      <c r="AR270" s="115">
        <f t="shared" si="274"/>
        <v>22.556862256180793</v>
      </c>
      <c r="AS270" s="115">
        <f t="shared" si="274"/>
        <v>23.614162541885335</v>
      </c>
      <c r="AT270" s="115">
        <f t="shared" ref="AT270:BJ270" si="275">AT131/AT269</f>
        <v>23.382014151536541</v>
      </c>
      <c r="AU270" s="115">
        <f t="shared" si="275"/>
        <v>23.547614012652826</v>
      </c>
      <c r="AV270" s="115">
        <f t="shared" si="275"/>
        <v>24.231255228129456</v>
      </c>
      <c r="AW270" s="115">
        <f t="shared" si="275"/>
        <v>23.88548704140317</v>
      </c>
      <c r="AX270" s="115">
        <f t="shared" si="275"/>
        <v>24.873857347615765</v>
      </c>
      <c r="AY270" s="115">
        <f t="shared" si="275"/>
        <v>24.782838604916076</v>
      </c>
      <c r="AZ270" s="115">
        <f t="shared" si="275"/>
        <v>24.680318732439392</v>
      </c>
      <c r="BA270" s="115">
        <f t="shared" si="275"/>
        <v>26.196222317500148</v>
      </c>
      <c r="BB270" s="115">
        <f t="shared" si="275"/>
        <v>26.905599944351611</v>
      </c>
      <c r="BC270" s="115">
        <f t="shared" si="275"/>
        <v>27.118632168074509</v>
      </c>
      <c r="BD270" s="115">
        <f t="shared" si="275"/>
        <v>27.983933657414166</v>
      </c>
      <c r="BE270" s="115">
        <f t="shared" si="275"/>
        <v>28.503190335245314</v>
      </c>
      <c r="BF270" s="115">
        <f t="shared" si="275"/>
        <v>28.71842036760928</v>
      </c>
      <c r="BG270" s="115">
        <f t="shared" si="275"/>
        <v>28.437911316165003</v>
      </c>
      <c r="BH270" s="115">
        <f t="shared" si="275"/>
        <v>29.154470600640035</v>
      </c>
      <c r="BI270" s="115">
        <f t="shared" si="275"/>
        <v>29.017562825754933</v>
      </c>
      <c r="BJ270" s="115">
        <f t="shared" si="275"/>
        <v>29.703920342785249</v>
      </c>
      <c r="BK270" s="65"/>
    </row>
    <row r="271" spans="1:63" s="51" customFormat="1">
      <c r="A271" s="38"/>
      <c r="B271" s="116">
        <f>(N271/X271)^(1/10)</f>
        <v>0.9951527913661331</v>
      </c>
      <c r="C271" s="51" t="s">
        <v>358</v>
      </c>
      <c r="D271" s="117">
        <f t="shared" ref="D271:L271" si="276">E271*$B271</f>
        <v>44.228438533082766</v>
      </c>
      <c r="E271" s="117">
        <f t="shared" si="276"/>
        <v>44.443867230042663</v>
      </c>
      <c r="F271" s="117">
        <f t="shared" si="276"/>
        <v>44.660345241086738</v>
      </c>
      <c r="G271" s="117">
        <f t="shared" si="276"/>
        <v>44.877877677233442</v>
      </c>
      <c r="H271" s="117">
        <f t="shared" si="276"/>
        <v>45.09646967439609</v>
      </c>
      <c r="I271" s="117">
        <f t="shared" si="276"/>
        <v>45.316126393504085</v>
      </c>
      <c r="J271" s="117">
        <f t="shared" si="276"/>
        <v>45.536853020624783</v>
      </c>
      <c r="K271" s="117">
        <f t="shared" si="276"/>
        <v>45.758654767085936</v>
      </c>
      <c r="L271" s="117">
        <f t="shared" si="276"/>
        <v>45.981536869598727</v>
      </c>
      <c r="M271" s="117">
        <f>N271*$B271</f>
        <v>46.205504590381402</v>
      </c>
      <c r="N271" s="80">
        <f t="shared" ref="N271:AS271" si="277">(N131*1000000000/1.609)/(N269*1000000*$N$5)</f>
        <v>46.43056321728352</v>
      </c>
      <c r="O271" s="80">
        <f t="shared" si="277"/>
        <v>46.091301896705353</v>
      </c>
      <c r="P271" s="80">
        <f t="shared" si="277"/>
        <v>47.411057002670447</v>
      </c>
      <c r="Q271" s="80">
        <f t="shared" si="277"/>
        <v>46.501371335439977</v>
      </c>
      <c r="R271" s="80">
        <f t="shared" si="277"/>
        <v>46.833250399066934</v>
      </c>
      <c r="S271" s="80">
        <f t="shared" si="277"/>
        <v>49.733244909415745</v>
      </c>
      <c r="T271" s="80">
        <f t="shared" si="277"/>
        <v>48.419315068533749</v>
      </c>
      <c r="U271" s="80">
        <f t="shared" si="277"/>
        <v>49.084888466146566</v>
      </c>
      <c r="V271" s="80">
        <f t="shared" si="277"/>
        <v>47.459670450931142</v>
      </c>
      <c r="W271" s="80">
        <f t="shared" si="277"/>
        <v>46.898985051344432</v>
      </c>
      <c r="X271" s="80">
        <f t="shared" si="277"/>
        <v>48.742331227941293</v>
      </c>
      <c r="Y271" s="80">
        <f t="shared" si="277"/>
        <v>50.43157660250975</v>
      </c>
      <c r="Z271" s="80">
        <f t="shared" si="277"/>
        <v>50.32113356317101</v>
      </c>
      <c r="AA271" s="80">
        <f t="shared" si="277"/>
        <v>50.738029685411639</v>
      </c>
      <c r="AB271" s="80">
        <f t="shared" si="277"/>
        <v>50.555973787058839</v>
      </c>
      <c r="AC271" s="80">
        <f t="shared" si="277"/>
        <v>52.054794349068061</v>
      </c>
      <c r="AD271" s="80">
        <f t="shared" si="277"/>
        <v>51.945026737664101</v>
      </c>
      <c r="AE271" s="80">
        <f t="shared" si="277"/>
        <v>54.007780733729518</v>
      </c>
      <c r="AF271" s="80">
        <f t="shared" si="277"/>
        <v>53.881398116024286</v>
      </c>
      <c r="AG271" s="80">
        <f t="shared" si="277"/>
        <v>58.091745515884554</v>
      </c>
      <c r="AH271" s="80">
        <f t="shared" si="277"/>
        <v>55.988637916882638</v>
      </c>
      <c r="AI271" s="80">
        <f t="shared" si="277"/>
        <v>56.22352902352219</v>
      </c>
      <c r="AJ271" s="80">
        <f t="shared" si="277"/>
        <v>54.292892176051524</v>
      </c>
      <c r="AK271" s="80">
        <f t="shared" si="277"/>
        <v>52.665699614100689</v>
      </c>
      <c r="AL271" s="80">
        <f t="shared" si="277"/>
        <v>53.975764128067759</v>
      </c>
      <c r="AM271" s="80">
        <f t="shared" si="277"/>
        <v>55.196632264244641</v>
      </c>
      <c r="AN271" s="80">
        <f t="shared" si="277"/>
        <v>53.122354526086028</v>
      </c>
      <c r="AO271" s="80">
        <f t="shared" si="277"/>
        <v>53.860802523721283</v>
      </c>
      <c r="AP271" s="80">
        <f t="shared" si="277"/>
        <v>54.48103167446294</v>
      </c>
      <c r="AQ271" s="80">
        <f t="shared" si="277"/>
        <v>52.966144850038546</v>
      </c>
      <c r="AR271" s="80">
        <f t="shared" si="277"/>
        <v>53.040829580243049</v>
      </c>
      <c r="AS271" s="80">
        <f t="shared" si="277"/>
        <v>55.526994705174396</v>
      </c>
      <c r="AT271" s="80">
        <f t="shared" ref="AT271:BJ271" si="278">(AT131*1000000000/1.609)/(AT269*1000000*$N$5)</f>
        <v>54.981114561474712</v>
      </c>
      <c r="AU271" s="80">
        <f t="shared" si="278"/>
        <v>55.370510653547484</v>
      </c>
      <c r="AV271" s="80">
        <f t="shared" si="278"/>
        <v>56.978043509505341</v>
      </c>
      <c r="AW271" s="80">
        <f t="shared" si="278"/>
        <v>56.164994635148112</v>
      </c>
      <c r="AX271" s="80">
        <f t="shared" si="278"/>
        <v>58.489075900468166</v>
      </c>
      <c r="AY271" s="80">
        <f t="shared" si="278"/>
        <v>58.275051912321537</v>
      </c>
      <c r="AZ271" s="80">
        <f t="shared" si="278"/>
        <v>58.033983849624384</v>
      </c>
      <c r="BA271" s="80">
        <f t="shared" si="278"/>
        <v>61.598521452510866</v>
      </c>
      <c r="BB271" s="80">
        <f t="shared" si="278"/>
        <v>63.266571617757386</v>
      </c>
      <c r="BC271" s="80">
        <f t="shared" si="278"/>
        <v>63.767501478713122</v>
      </c>
      <c r="BD271" s="80">
        <f t="shared" si="278"/>
        <v>65.802195325328213</v>
      </c>
      <c r="BE271" s="80">
        <f t="shared" si="278"/>
        <v>67.023189834424812</v>
      </c>
      <c r="BF271" s="80">
        <f t="shared" si="278"/>
        <v>67.529287683386016</v>
      </c>
      <c r="BG271" s="80">
        <f t="shared" si="278"/>
        <v>66.869690944070271</v>
      </c>
      <c r="BH271" s="80">
        <f t="shared" si="278"/>
        <v>68.554628257617367</v>
      </c>
      <c r="BI271" s="80">
        <f t="shared" si="278"/>
        <v>68.23269953041148</v>
      </c>
      <c r="BJ271" s="80">
        <f t="shared" si="278"/>
        <v>69.846619572945244</v>
      </c>
      <c r="BK271" s="65"/>
    </row>
    <row r="272" spans="1:63" s="51" customFormat="1">
      <c r="A272" s="38"/>
      <c r="C272" s="51" t="s">
        <v>333</v>
      </c>
      <c r="D272" s="127">
        <f>D269/D281</f>
        <v>5.9111102147046922E-2</v>
      </c>
      <c r="E272" s="127">
        <f t="shared" ref="E272:M272" si="279">E269/E281</f>
        <v>5.3828140846266644E-2</v>
      </c>
      <c r="F272" s="127">
        <f t="shared" si="279"/>
        <v>4.6276034635194911E-2</v>
      </c>
      <c r="G272" s="127">
        <f t="shared" si="279"/>
        <v>3.8332858477181583E-2</v>
      </c>
      <c r="H272" s="127">
        <f t="shared" si="279"/>
        <v>3.4797124128854988E-2</v>
      </c>
      <c r="I272" s="127">
        <f t="shared" si="279"/>
        <v>2.9130425413273524E-2</v>
      </c>
      <c r="J272" s="127">
        <f t="shared" si="279"/>
        <v>2.4458238009693139E-2</v>
      </c>
      <c r="K272" s="127">
        <f t="shared" si="279"/>
        <v>1.9916126934346166E-2</v>
      </c>
      <c r="L272" s="127">
        <f t="shared" si="279"/>
        <v>1.711249599718127E-2</v>
      </c>
      <c r="M272" s="127">
        <f t="shared" si="279"/>
        <v>1.4922715184102514E-2</v>
      </c>
      <c r="N272" s="78">
        <f>N269/N$281</f>
        <v>1.4540494437851884E-2</v>
      </c>
      <c r="O272" s="78">
        <f t="shared" ref="O272:BJ272" si="280">O269/O$281</f>
        <v>1.3366381827831291E-2</v>
      </c>
      <c r="P272" s="78">
        <f t="shared" si="280"/>
        <v>1.1713105407023354E-2</v>
      </c>
      <c r="Q272" s="78">
        <f t="shared" si="280"/>
        <v>1.1703791408804736E-2</v>
      </c>
      <c r="R272" s="78">
        <f t="shared" si="280"/>
        <v>1.2931954815903127E-2</v>
      </c>
      <c r="S272" s="78">
        <f t="shared" si="280"/>
        <v>1.5318407806705568E-2</v>
      </c>
      <c r="T272" s="78">
        <f t="shared" si="280"/>
        <v>1.8311067300738958E-2</v>
      </c>
      <c r="U272" s="78">
        <f t="shared" si="280"/>
        <v>1.7583863710755161E-2</v>
      </c>
      <c r="V272" s="78">
        <f t="shared" si="280"/>
        <v>1.6731381270488642E-2</v>
      </c>
      <c r="W272" s="78">
        <f t="shared" si="280"/>
        <v>1.7497443712126106E-2</v>
      </c>
      <c r="X272" s="78">
        <f t="shared" si="280"/>
        <v>1.9699777236537108E-2</v>
      </c>
      <c r="Y272" s="78">
        <f t="shared" si="280"/>
        <v>2.2312776920056697E-2</v>
      </c>
      <c r="Z272" s="78">
        <f t="shared" si="280"/>
        <v>2.2532227453913905E-2</v>
      </c>
      <c r="AA272" s="78">
        <f t="shared" si="280"/>
        <v>2.0055227295953701E-2</v>
      </c>
      <c r="AB272" s="78">
        <f t="shared" si="280"/>
        <v>1.8720728601566514E-2</v>
      </c>
      <c r="AC272" s="78">
        <f t="shared" si="280"/>
        <v>1.6585034171572217E-2</v>
      </c>
      <c r="AD272" s="78">
        <f t="shared" si="280"/>
        <v>1.5101072781071444E-2</v>
      </c>
      <c r="AE272" s="78">
        <f t="shared" si="280"/>
        <v>1.3418005373636984E-2</v>
      </c>
      <c r="AF272" s="78">
        <f t="shared" si="280"/>
        <v>1.1305614934388196E-2</v>
      </c>
      <c r="AG272" s="78">
        <f t="shared" si="280"/>
        <v>1.0190456781626315E-2</v>
      </c>
      <c r="AH272" s="78">
        <f t="shared" si="280"/>
        <v>9.8410633098808681E-3</v>
      </c>
      <c r="AI272" s="78">
        <f t="shared" si="280"/>
        <v>9.6342957274321815E-3</v>
      </c>
      <c r="AJ272" s="78">
        <f t="shared" si="280"/>
        <v>8.2094086002820615E-3</v>
      </c>
      <c r="AK272" s="78">
        <f t="shared" si="280"/>
        <v>7.0357342470112137E-3</v>
      </c>
      <c r="AL272" s="78">
        <f t="shared" si="280"/>
        <v>7.1492027315629963E-3</v>
      </c>
      <c r="AM272" s="78">
        <f t="shared" si="280"/>
        <v>7.2803226610223719E-3</v>
      </c>
      <c r="AN272" s="78">
        <f t="shared" si="280"/>
        <v>7.4096485904656569E-3</v>
      </c>
      <c r="AO272" s="78">
        <f t="shared" si="280"/>
        <v>8.0017736074022398E-3</v>
      </c>
      <c r="AP272" s="78">
        <f t="shared" si="280"/>
        <v>8.3821383739626412E-3</v>
      </c>
      <c r="AQ272" s="78">
        <f t="shared" si="280"/>
        <v>9.3128466165864621E-3</v>
      </c>
      <c r="AR272" s="78">
        <f t="shared" si="280"/>
        <v>9.4705027702437373E-3</v>
      </c>
      <c r="AS272" s="78">
        <f t="shared" si="280"/>
        <v>9.9118027890171476E-3</v>
      </c>
      <c r="AT272" s="78">
        <f t="shared" si="280"/>
        <v>1.0412764828072726E-2</v>
      </c>
      <c r="AU272" s="78">
        <f t="shared" si="280"/>
        <v>1.1858031205587545E-2</v>
      </c>
      <c r="AV272" s="78">
        <f t="shared" si="280"/>
        <v>1.1103082322471725E-2</v>
      </c>
      <c r="AW272" s="78">
        <f t="shared" si="280"/>
        <v>1.2012733109810712E-2</v>
      </c>
      <c r="AX272" s="78">
        <f t="shared" si="280"/>
        <v>1.167171722270881E-2</v>
      </c>
      <c r="AY272" s="78">
        <f t="shared" si="280"/>
        <v>1.2798379778931701E-2</v>
      </c>
      <c r="AZ272" s="78">
        <f t="shared" si="280"/>
        <v>1.2490936838077076E-2</v>
      </c>
      <c r="BA272" s="78">
        <f t="shared" si="280"/>
        <v>1.2874135670446509E-2</v>
      </c>
      <c r="BB272" s="78">
        <f t="shared" si="280"/>
        <v>1.2182225859935659E-2</v>
      </c>
      <c r="BC272" s="78">
        <f t="shared" si="280"/>
        <v>1.2722022286882717E-2</v>
      </c>
      <c r="BD272" s="78">
        <f t="shared" si="280"/>
        <v>1.295051178262319E-2</v>
      </c>
      <c r="BE272" s="78">
        <f t="shared" si="280"/>
        <v>1.2940104971456427E-2</v>
      </c>
      <c r="BF272" s="78">
        <f t="shared" si="280"/>
        <v>1.3600777361050757E-2</v>
      </c>
      <c r="BG272" s="78">
        <f t="shared" si="280"/>
        <v>1.404351274525077E-2</v>
      </c>
      <c r="BH272" s="78">
        <f t="shared" si="280"/>
        <v>1.4355734571992032E-2</v>
      </c>
      <c r="BI272" s="78">
        <f t="shared" si="280"/>
        <v>1.4645837514514412E-2</v>
      </c>
      <c r="BJ272" s="78">
        <f t="shared" si="280"/>
        <v>1.4580228746185541E-2</v>
      </c>
      <c r="BK272" s="65"/>
    </row>
    <row r="273" spans="1:63" s="51" customFormat="1">
      <c r="A273" s="38"/>
      <c r="D273" s="127"/>
      <c r="E273" s="127"/>
      <c r="F273" s="127"/>
      <c r="G273" s="127"/>
      <c r="H273" s="127"/>
      <c r="I273" s="127"/>
      <c r="J273" s="127"/>
      <c r="K273" s="127"/>
      <c r="L273" s="127"/>
      <c r="M273" s="127"/>
      <c r="N273" s="128"/>
      <c r="O273" s="128"/>
      <c r="P273" s="128"/>
      <c r="Q273" s="128"/>
      <c r="R273" s="78"/>
      <c r="S273" s="78"/>
      <c r="T273" s="78"/>
      <c r="U273" s="78"/>
      <c r="V273" s="78"/>
      <c r="W273" s="78"/>
      <c r="X273" s="78"/>
      <c r="Y273" s="78"/>
      <c r="Z273" s="78"/>
      <c r="AA273" s="78"/>
      <c r="AB273" s="78"/>
      <c r="AC273" s="78"/>
      <c r="AD273" s="78"/>
      <c r="AE273" s="78"/>
      <c r="AF273" s="78"/>
      <c r="AG273" s="78"/>
      <c r="AH273" s="78"/>
      <c r="AI273" s="78"/>
      <c r="AJ273" s="78"/>
      <c r="AK273" s="78"/>
      <c r="AL273" s="78"/>
      <c r="AM273" s="78"/>
      <c r="AN273" s="78"/>
      <c r="AO273" s="78"/>
      <c r="AP273" s="78"/>
      <c r="AQ273" s="78"/>
      <c r="AR273" s="78"/>
      <c r="AS273" s="78"/>
      <c r="AT273" s="78"/>
      <c r="AU273" s="78"/>
      <c r="AV273" s="78"/>
      <c r="AW273" s="78"/>
      <c r="AX273" s="78"/>
      <c r="AY273" s="78"/>
      <c r="AZ273" s="78"/>
      <c r="BA273" s="78"/>
      <c r="BB273" s="78"/>
      <c r="BC273" s="78"/>
      <c r="BD273" s="78"/>
      <c r="BE273" s="78"/>
      <c r="BF273" s="78"/>
      <c r="BG273" s="78"/>
      <c r="BH273" s="78"/>
      <c r="BI273" s="78"/>
      <c r="BJ273" s="78"/>
      <c r="BK273" s="65"/>
    </row>
    <row r="274" spans="1:63">
      <c r="BD274" s="80"/>
      <c r="BE274" s="80"/>
      <c r="BF274" s="80"/>
      <c r="BG274" s="80"/>
      <c r="BH274" s="80"/>
      <c r="BI274" s="80"/>
      <c r="BJ274" s="80"/>
    </row>
    <row r="275" spans="1:63">
      <c r="A275" s="46" t="s">
        <v>263</v>
      </c>
      <c r="C275" s="38" t="s">
        <v>359</v>
      </c>
      <c r="D275" s="113">
        <f t="shared" ref="D275:M275" si="281">$N275*D132/$N132*D277/$N277</f>
        <v>0.70887227347055137</v>
      </c>
      <c r="E275" s="113">
        <f t="shared" si="281"/>
        <v>0.76917564395676152</v>
      </c>
      <c r="F275" s="113">
        <f t="shared" si="281"/>
        <v>0.80122462912162662</v>
      </c>
      <c r="G275" s="113">
        <f t="shared" si="281"/>
        <v>0.8346089886683612</v>
      </c>
      <c r="H275" s="113">
        <f t="shared" si="281"/>
        <v>0.8693843631962096</v>
      </c>
      <c r="I275" s="113">
        <f t="shared" si="281"/>
        <v>0.86938436319620938</v>
      </c>
      <c r="J275" s="113">
        <f t="shared" si="281"/>
        <v>0.90560871166271806</v>
      </c>
      <c r="K275" s="113">
        <f t="shared" si="281"/>
        <v>0.9433424079819982</v>
      </c>
      <c r="L275" s="113">
        <f t="shared" si="281"/>
        <v>0.9826483416479147</v>
      </c>
      <c r="M275" s="113">
        <f t="shared" si="281"/>
        <v>1.0235920225499111</v>
      </c>
      <c r="N275" s="111">
        <v>0.97738821597647796</v>
      </c>
      <c r="O275" s="111">
        <v>0.97957376438854193</v>
      </c>
      <c r="P275" s="111">
        <v>0.9707709582298264</v>
      </c>
      <c r="Q275" s="111">
        <v>1.0011559430591548</v>
      </c>
      <c r="R275" s="111">
        <v>0.92165243083941861</v>
      </c>
      <c r="S275" s="111">
        <v>0.89810619822481674</v>
      </c>
      <c r="T275" s="111">
        <v>0.91224268533715513</v>
      </c>
      <c r="U275" s="111">
        <v>0.91179843212812528</v>
      </c>
      <c r="V275" s="111">
        <v>0.92306017836270438</v>
      </c>
      <c r="W275" s="111">
        <v>0.94371932043592288</v>
      </c>
      <c r="X275" s="111">
        <v>0.97153208570266159</v>
      </c>
      <c r="Y275" s="111">
        <v>0.94275705680007527</v>
      </c>
      <c r="Z275" s="111">
        <v>0.99176698862108859</v>
      </c>
      <c r="AA275" s="111">
        <v>1.0975293337119705</v>
      </c>
      <c r="AB275" s="111">
        <v>1.1922932908789028</v>
      </c>
      <c r="AC275" s="111">
        <v>1.1804107835667512</v>
      </c>
      <c r="AD275" s="111">
        <v>1.281563549247529</v>
      </c>
      <c r="AE275" s="111">
        <v>1.3675047314017419</v>
      </c>
      <c r="AF275" s="111">
        <v>1.471749100779659</v>
      </c>
      <c r="AG275" s="111">
        <v>1.6137400268599218</v>
      </c>
      <c r="AH275" s="111">
        <v>1.6419591775132569</v>
      </c>
      <c r="AI275" s="111">
        <v>1.6838030016810448</v>
      </c>
      <c r="AJ275" s="111">
        <v>1.6626739533136359</v>
      </c>
      <c r="AK275" s="111">
        <v>1.6595940943076162</v>
      </c>
      <c r="AL275" s="111">
        <v>1.6815976330414499</v>
      </c>
      <c r="AM275" s="111">
        <v>1.7057526652184061</v>
      </c>
      <c r="AN275" s="111">
        <v>1.7272290134156811</v>
      </c>
      <c r="AO275" s="111">
        <v>1.7281480191349716</v>
      </c>
      <c r="AP275" s="111">
        <v>1.6832656222221059</v>
      </c>
      <c r="AQ275" s="111">
        <v>1.6308548326551744</v>
      </c>
      <c r="AR275" s="111">
        <v>1.5306668814916273</v>
      </c>
      <c r="AS275" s="111">
        <v>1.4938990075453698</v>
      </c>
      <c r="AT275" s="111">
        <v>1.4891752654979771</v>
      </c>
      <c r="AU275" s="111">
        <v>1.5285094074887069</v>
      </c>
      <c r="AV275" s="111">
        <v>1.4612216522284129</v>
      </c>
      <c r="AW275" s="111">
        <v>1.4567083660349942</v>
      </c>
      <c r="AX275" s="111">
        <v>1.4767424946105412</v>
      </c>
      <c r="AY275" s="111">
        <v>1.5023657646432329</v>
      </c>
      <c r="AZ275" s="111">
        <v>1.3310219238176337</v>
      </c>
      <c r="BA275" s="111">
        <v>1.326672901416178</v>
      </c>
      <c r="BB275" s="111">
        <v>1.356808772258784</v>
      </c>
      <c r="BC275" s="112">
        <v>1.2481093388572564</v>
      </c>
      <c r="BD275" s="80">
        <v>1.1933868025704466</v>
      </c>
      <c r="BE275" s="80">
        <v>1.2091302008950202</v>
      </c>
      <c r="BF275" s="80">
        <v>1.2031801385705025</v>
      </c>
      <c r="BG275" s="80">
        <v>1.1628905240157792</v>
      </c>
      <c r="BH275" s="80">
        <v>1.1035610214496423</v>
      </c>
      <c r="BI275" s="80">
        <v>1.0516623158886553</v>
      </c>
      <c r="BJ275" s="113">
        <v>0.99168563432712054</v>
      </c>
      <c r="BK275" s="124">
        <f t="array" ref="BK275">TREND(AZ275:BJ275,AZ225:BJ225,BK225)</f>
        <v>0.9952584338784618</v>
      </c>
    </row>
    <row r="276" spans="1:63" s="51" customFormat="1">
      <c r="A276" s="38"/>
      <c r="C276" s="51" t="s">
        <v>360</v>
      </c>
      <c r="D276" s="125"/>
      <c r="E276" s="125"/>
      <c r="F276" s="125"/>
      <c r="G276" s="125"/>
      <c r="H276" s="125"/>
      <c r="I276" s="125"/>
      <c r="J276" s="125"/>
      <c r="K276" s="125"/>
      <c r="L276" s="125"/>
      <c r="M276" s="125"/>
      <c r="N276" s="115">
        <f t="shared" ref="N276:AS276" si="282">N132/N275</f>
        <v>3.6216929385254524</v>
      </c>
      <c r="O276" s="115">
        <f t="shared" si="282"/>
        <v>3.6136125003404644</v>
      </c>
      <c r="P276" s="115">
        <f t="shared" si="282"/>
        <v>3.6463801991509159</v>
      </c>
      <c r="Q276" s="115">
        <f t="shared" si="282"/>
        <v>3.5357129171942057</v>
      </c>
      <c r="R276" s="115">
        <f t="shared" si="282"/>
        <v>3.6661325755117691</v>
      </c>
      <c r="S276" s="115">
        <f t="shared" si="282"/>
        <v>3.5830951911484972</v>
      </c>
      <c r="T276" s="115">
        <f t="shared" si="282"/>
        <v>3.7039485811291488</v>
      </c>
      <c r="U276" s="115">
        <f t="shared" si="282"/>
        <v>3.5292888061775138</v>
      </c>
      <c r="V276" s="115">
        <f t="shared" si="282"/>
        <v>3.6605414026129788</v>
      </c>
      <c r="W276" s="115">
        <f t="shared" si="282"/>
        <v>3.580407783152324</v>
      </c>
      <c r="X276" s="115">
        <f t="shared" si="282"/>
        <v>3.6435235151702026</v>
      </c>
      <c r="Y276" s="115">
        <f t="shared" si="282"/>
        <v>3.754731905179113</v>
      </c>
      <c r="Z276" s="115">
        <f t="shared" si="282"/>
        <v>3.5691851418865941</v>
      </c>
      <c r="AA276" s="115">
        <f t="shared" si="282"/>
        <v>3.3718460967998065</v>
      </c>
      <c r="AB276" s="115">
        <f t="shared" si="282"/>
        <v>3.2388004105545281</v>
      </c>
      <c r="AC276" s="115">
        <f t="shared" si="282"/>
        <v>3.1350950461651119</v>
      </c>
      <c r="AD276" s="115">
        <f t="shared" si="282"/>
        <v>2.8876445511990947</v>
      </c>
      <c r="AE276" s="115">
        <f t="shared" si="282"/>
        <v>2.9414889086904963</v>
      </c>
      <c r="AF276" s="115">
        <f t="shared" si="282"/>
        <v>2.951793887761581</v>
      </c>
      <c r="AG276" s="115">
        <f t="shared" si="282"/>
        <v>2.7917755803370592</v>
      </c>
      <c r="AH276" s="115">
        <f t="shared" si="282"/>
        <v>2.8417880687306716</v>
      </c>
      <c r="AI276" s="115">
        <f t="shared" si="282"/>
        <v>2.8667249049805155</v>
      </c>
      <c r="AJ276" s="115">
        <f t="shared" si="282"/>
        <v>2.806383049846104</v>
      </c>
      <c r="AK276" s="115">
        <f t="shared" si="282"/>
        <v>2.811591108937213</v>
      </c>
      <c r="AL276" s="115">
        <f t="shared" si="282"/>
        <v>2.7748017173172275</v>
      </c>
      <c r="AM276" s="115">
        <f t="shared" si="282"/>
        <v>2.8298358246340167</v>
      </c>
      <c r="AN276" s="115">
        <f t="shared" si="282"/>
        <v>2.8878046635727705</v>
      </c>
      <c r="AO276" s="115">
        <f t="shared" si="282"/>
        <v>2.9793744187359854</v>
      </c>
      <c r="AP276" s="115">
        <f t="shared" si="282"/>
        <v>3.1544041118065369</v>
      </c>
      <c r="AQ276" s="115">
        <f t="shared" si="282"/>
        <v>3.2557772118535793</v>
      </c>
      <c r="AR276" s="115">
        <f t="shared" si="282"/>
        <v>3.3637625941070342</v>
      </c>
      <c r="AS276" s="115">
        <f t="shared" si="282"/>
        <v>3.4465515901640567</v>
      </c>
      <c r="AT276" s="115">
        <f t="shared" ref="AT276:BJ276" si="283">AT132/AT275</f>
        <v>3.457484232575037</v>
      </c>
      <c r="AU276" s="115">
        <f t="shared" si="283"/>
        <v>3.4737764609009965</v>
      </c>
      <c r="AV276" s="115">
        <f t="shared" si="283"/>
        <v>3.5236269543008101</v>
      </c>
      <c r="AW276" s="115">
        <f t="shared" si="283"/>
        <v>3.5345441270544002</v>
      </c>
      <c r="AX276" s="115">
        <f t="shared" si="283"/>
        <v>3.5955490001662866</v>
      </c>
      <c r="AY276" s="115">
        <f t="shared" si="283"/>
        <v>3.6413236568254099</v>
      </c>
      <c r="AZ276" s="115">
        <f t="shared" si="283"/>
        <v>3.7474213690588338</v>
      </c>
      <c r="BA276" s="115">
        <f t="shared" si="283"/>
        <v>3.7597059491270133</v>
      </c>
      <c r="BB276" s="115">
        <f t="shared" si="283"/>
        <v>3.7947867859288649</v>
      </c>
      <c r="BC276" s="115">
        <f t="shared" si="283"/>
        <v>3.8674496293886427</v>
      </c>
      <c r="BD276" s="115">
        <f t="shared" si="283"/>
        <v>3.7751381113786482</v>
      </c>
      <c r="BE276" s="115">
        <f t="shared" si="283"/>
        <v>3.8590550434899962</v>
      </c>
      <c r="BF276" s="115">
        <f t="shared" si="283"/>
        <v>3.8781391500891877</v>
      </c>
      <c r="BG276" s="115">
        <f t="shared" si="283"/>
        <v>3.8741394026002647</v>
      </c>
      <c r="BH276" s="115">
        <f t="shared" si="283"/>
        <v>3.7908189204659188</v>
      </c>
      <c r="BI276" s="115">
        <f t="shared" si="283"/>
        <v>3.9778928433553542</v>
      </c>
      <c r="BJ276" s="115">
        <f t="shared" si="283"/>
        <v>4.0562249373808372</v>
      </c>
      <c r="BK276" s="65"/>
    </row>
    <row r="277" spans="1:63" s="51" customFormat="1">
      <c r="A277" s="38"/>
      <c r="B277" s="116">
        <v>0.96</v>
      </c>
      <c r="C277" s="51" t="s">
        <v>361</v>
      </c>
      <c r="D277" s="117">
        <f>E277*$B277</f>
        <v>6.2799344092262102</v>
      </c>
      <c r="E277" s="117">
        <f t="shared" ref="E277:M277" si="284">F277*$B277</f>
        <v>6.5415983429439688</v>
      </c>
      <c r="F277" s="117">
        <f t="shared" si="284"/>
        <v>6.8141649405666342</v>
      </c>
      <c r="G277" s="117">
        <f t="shared" si="284"/>
        <v>7.0980884797569113</v>
      </c>
      <c r="H277" s="117">
        <f t="shared" si="284"/>
        <v>7.3938421664134495</v>
      </c>
      <c r="I277" s="117">
        <f t="shared" si="284"/>
        <v>7.7019189233473435</v>
      </c>
      <c r="J277" s="117">
        <f t="shared" si="284"/>
        <v>8.0228322118201501</v>
      </c>
      <c r="K277" s="117">
        <f t="shared" si="284"/>
        <v>8.3571168873126567</v>
      </c>
      <c r="L277" s="117">
        <f t="shared" si="284"/>
        <v>8.7053300909506834</v>
      </c>
      <c r="M277" s="117">
        <f t="shared" si="284"/>
        <v>9.0680521780736285</v>
      </c>
      <c r="N277" s="80">
        <f t="shared" ref="N277:AS277" si="285">(N132*1000000000/1.609)/(N275*1000000*$N$9)</f>
        <v>9.4458876854933642</v>
      </c>
      <c r="O277" s="80">
        <f t="shared" si="285"/>
        <v>9.4248127592529176</v>
      </c>
      <c r="P277" s="80">
        <f t="shared" si="285"/>
        <v>9.5102755546719084</v>
      </c>
      <c r="Q277" s="80">
        <f t="shared" si="285"/>
        <v>9.2216396229223978</v>
      </c>
      <c r="R277" s="80">
        <f t="shared" si="285"/>
        <v>9.5617925473582535</v>
      </c>
      <c r="S277" s="80">
        <f t="shared" si="285"/>
        <v>9.345219298409118</v>
      </c>
      <c r="T277" s="80">
        <f t="shared" si="285"/>
        <v>9.6604220413101043</v>
      </c>
      <c r="U277" s="80">
        <f t="shared" si="285"/>
        <v>9.2048846323219191</v>
      </c>
      <c r="V277" s="80">
        <f t="shared" si="285"/>
        <v>9.5472099772374293</v>
      </c>
      <c r="W277" s="80">
        <f t="shared" si="285"/>
        <v>9.3382101580629211</v>
      </c>
      <c r="X277" s="80">
        <f t="shared" si="285"/>
        <v>9.5028249186039719</v>
      </c>
      <c r="Y277" s="80">
        <f t="shared" si="285"/>
        <v>9.7928721367252294</v>
      </c>
      <c r="Z277" s="80">
        <f t="shared" si="285"/>
        <v>9.3089399215381672</v>
      </c>
      <c r="AA277" s="80">
        <f t="shared" si="285"/>
        <v>8.7942517667187161</v>
      </c>
      <c r="AB277" s="80">
        <f t="shared" si="285"/>
        <v>8.4472497898410275</v>
      </c>
      <c r="AC277" s="80">
        <f t="shared" si="285"/>
        <v>8.1767715242803867</v>
      </c>
      <c r="AD277" s="80">
        <f t="shared" si="285"/>
        <v>7.5313856169592679</v>
      </c>
      <c r="AE277" s="80">
        <f t="shared" si="285"/>
        <v>7.6718193207531655</v>
      </c>
      <c r="AF277" s="80">
        <f t="shared" si="285"/>
        <v>7.6986961644169067</v>
      </c>
      <c r="AG277" s="80">
        <f t="shared" si="285"/>
        <v>7.2813457746375381</v>
      </c>
      <c r="AH277" s="80">
        <f t="shared" si="285"/>
        <v>7.4117854215807837</v>
      </c>
      <c r="AI277" s="80">
        <f t="shared" si="285"/>
        <v>7.4768242193048868</v>
      </c>
      <c r="AJ277" s="80">
        <f t="shared" si="285"/>
        <v>7.319444122204211</v>
      </c>
      <c r="AK277" s="80">
        <f t="shared" si="285"/>
        <v>7.333027477300587</v>
      </c>
      <c r="AL277" s="80">
        <f t="shared" si="285"/>
        <v>7.2370755379289688</v>
      </c>
      <c r="AM277" s="80">
        <f t="shared" si="285"/>
        <v>7.3806122776276775</v>
      </c>
      <c r="AN277" s="80">
        <f t="shared" si="285"/>
        <v>7.5318032126871426</v>
      </c>
      <c r="AO277" s="80">
        <f t="shared" si="285"/>
        <v>7.7706300920890206</v>
      </c>
      <c r="AP277" s="80">
        <f t="shared" si="285"/>
        <v>8.2271322998780505</v>
      </c>
      <c r="AQ277" s="80">
        <f t="shared" si="285"/>
        <v>8.4915276899975964</v>
      </c>
      <c r="AR277" s="80">
        <f t="shared" si="285"/>
        <v>8.7731688478083125</v>
      </c>
      <c r="AS277" s="80">
        <f t="shared" si="285"/>
        <v>8.9890942649055958</v>
      </c>
      <c r="AT277" s="80">
        <f t="shared" ref="AT277:BJ277" si="286">(AT132*1000000000/1.609)/(AT275*1000000*$N$9)</f>
        <v>9.0176081433797393</v>
      </c>
      <c r="AU277" s="80">
        <f t="shared" si="286"/>
        <v>9.0601005803493067</v>
      </c>
      <c r="AV277" s="80">
        <f t="shared" si="286"/>
        <v>9.1901177214249916</v>
      </c>
      <c r="AW277" s="80">
        <f t="shared" si="286"/>
        <v>9.2185912528435683</v>
      </c>
      <c r="AX277" s="80">
        <f t="shared" si="286"/>
        <v>9.3777005946524472</v>
      </c>
      <c r="AY277" s="80">
        <f t="shared" si="286"/>
        <v>9.497087376741197</v>
      </c>
      <c r="AZ277" s="80">
        <f t="shared" si="286"/>
        <v>9.773805224017547</v>
      </c>
      <c r="BA277" s="80">
        <f t="shared" si="286"/>
        <v>9.8058451472128887</v>
      </c>
      <c r="BB277" s="80">
        <f t="shared" si="286"/>
        <v>9.8973409338430844</v>
      </c>
      <c r="BC277" s="80">
        <f t="shared" si="286"/>
        <v>10.086855912025939</v>
      </c>
      <c r="BD277" s="80">
        <f t="shared" si="286"/>
        <v>9.8460944101536061</v>
      </c>
      <c r="BE277" s="80">
        <f t="shared" si="286"/>
        <v>10.06496164409357</v>
      </c>
      <c r="BF277" s="80">
        <f t="shared" si="286"/>
        <v>10.11473569467538</v>
      </c>
      <c r="BG277" s="80">
        <f t="shared" si="286"/>
        <v>10.10430378722436</v>
      </c>
      <c r="BH277" s="80">
        <f t="shared" si="286"/>
        <v>9.8869921792274056</v>
      </c>
      <c r="BI277" s="80">
        <f t="shared" si="286"/>
        <v>10.374907442749913</v>
      </c>
      <c r="BJ277" s="80">
        <f t="shared" si="286"/>
        <v>10.579208628657593</v>
      </c>
      <c r="BK277" s="65"/>
    </row>
    <row r="278" spans="1:63" s="51" customFormat="1">
      <c r="A278" s="38"/>
      <c r="C278" s="51" t="s">
        <v>334</v>
      </c>
      <c r="D278" s="127">
        <f>D275/D282</f>
        <v>0.26550746475232806</v>
      </c>
      <c r="E278" s="127">
        <f t="shared" ref="E278:M278" si="287">E275/E282</f>
        <v>0.26221256320104502</v>
      </c>
      <c r="F278" s="127">
        <f t="shared" si="287"/>
        <v>0.2549229540760255</v>
      </c>
      <c r="G278" s="127">
        <f t="shared" si="287"/>
        <v>0.24427270346864707</v>
      </c>
      <c r="H278" s="127">
        <f t="shared" si="287"/>
        <v>0.23130635451973658</v>
      </c>
      <c r="I278" s="127">
        <f t="shared" si="287"/>
        <v>0.21875206500888067</v>
      </c>
      <c r="J278" s="127">
        <f t="shared" si="287"/>
        <v>0.21676756418235729</v>
      </c>
      <c r="K278" s="127">
        <f t="shared" si="287"/>
        <v>0.21288927794940363</v>
      </c>
      <c r="L278" s="127">
        <f t="shared" si="287"/>
        <v>0.20764639167120597</v>
      </c>
      <c r="M278" s="127">
        <f t="shared" si="287"/>
        <v>0.20665642849642168</v>
      </c>
      <c r="N278" s="78">
        <f>N275/N$282</f>
        <v>0.2033973488782396</v>
      </c>
      <c r="O278" s="78">
        <f t="shared" ref="O278:BJ278" si="288">O275/O$282</f>
        <v>0.19756536667328345</v>
      </c>
      <c r="P278" s="78">
        <f t="shared" si="288"/>
        <v>0.19333664618889995</v>
      </c>
      <c r="Q278" s="78">
        <f t="shared" si="288"/>
        <v>0.18524149931964984</v>
      </c>
      <c r="R278" s="78">
        <f t="shared" si="288"/>
        <v>0.17499327742620135</v>
      </c>
      <c r="S278" s="78">
        <f t="shared" si="288"/>
        <v>0.17344275475062049</v>
      </c>
      <c r="T278" s="78">
        <f t="shared" si="288"/>
        <v>0.17039845506460449</v>
      </c>
      <c r="U278" s="78">
        <f t="shared" si="288"/>
        <v>0.16682674544912049</v>
      </c>
      <c r="V278" s="78">
        <f t="shared" si="288"/>
        <v>0.1640249948534136</v>
      </c>
      <c r="W278" s="78">
        <f t="shared" si="288"/>
        <v>0.16244633403551351</v>
      </c>
      <c r="X278" s="78">
        <f t="shared" si="288"/>
        <v>0.17271356376761565</v>
      </c>
      <c r="Y278" s="78">
        <f t="shared" si="288"/>
        <v>0.17680972035833592</v>
      </c>
      <c r="Z278" s="78">
        <f t="shared" si="288"/>
        <v>0.17989707975892766</v>
      </c>
      <c r="AA278" s="78">
        <f t="shared" si="288"/>
        <v>0.18416515661938668</v>
      </c>
      <c r="AB278" s="78">
        <f t="shared" si="288"/>
        <v>0.18278628255221058</v>
      </c>
      <c r="AC278" s="78">
        <f t="shared" si="288"/>
        <v>0.17190045341512897</v>
      </c>
      <c r="AD278" s="78">
        <f t="shared" si="288"/>
        <v>0.16812639535521262</v>
      </c>
      <c r="AE278" s="78">
        <f t="shared" si="288"/>
        <v>0.16648097121395877</v>
      </c>
      <c r="AF278" s="78">
        <f t="shared" si="288"/>
        <v>0.16177434028528093</v>
      </c>
      <c r="AG278" s="78">
        <f t="shared" si="288"/>
        <v>0.16408757701958232</v>
      </c>
      <c r="AH278" s="78">
        <f t="shared" si="288"/>
        <v>0.15837519058659541</v>
      </c>
      <c r="AI278" s="78">
        <f t="shared" si="288"/>
        <v>0.16158476193175034</v>
      </c>
      <c r="AJ278" s="78">
        <f t="shared" si="288"/>
        <v>0.15315807832562428</v>
      </c>
      <c r="AK278" s="78">
        <f t="shared" si="288"/>
        <v>0.14401590868089531</v>
      </c>
      <c r="AL278" s="78">
        <f t="shared" si="288"/>
        <v>0.13327315078939772</v>
      </c>
      <c r="AM278" s="78">
        <f t="shared" si="288"/>
        <v>0.12967649072166423</v>
      </c>
      <c r="AN278" s="78">
        <f t="shared" si="288"/>
        <v>0.12285559777458431</v>
      </c>
      <c r="AO278" s="78">
        <f t="shared" si="288"/>
        <v>0.11782478610365882</v>
      </c>
      <c r="AP278" s="78">
        <f t="shared" si="288"/>
        <v>0.11349495892043633</v>
      </c>
      <c r="AQ278" s="78">
        <f t="shared" si="288"/>
        <v>0.10734032430604891</v>
      </c>
      <c r="AR278" s="78">
        <f t="shared" si="288"/>
        <v>9.995157807708524E-2</v>
      </c>
      <c r="AS278" s="78">
        <f t="shared" si="288"/>
        <v>9.4919885565113701E-2</v>
      </c>
      <c r="AT278" s="78">
        <f t="shared" si="288"/>
        <v>8.9701885918583107E-2</v>
      </c>
      <c r="AU278" s="78">
        <f t="shared" si="288"/>
        <v>8.7930925171009228E-2</v>
      </c>
      <c r="AV278" s="78">
        <f t="shared" si="288"/>
        <v>8.0466217860221623E-2</v>
      </c>
      <c r="AW278" s="78">
        <f t="shared" si="288"/>
        <v>7.6571978766381624E-2</v>
      </c>
      <c r="AX278" s="78">
        <f t="shared" si="288"/>
        <v>7.4594642616031326E-2</v>
      </c>
      <c r="AY278" s="78">
        <f t="shared" si="288"/>
        <v>7.2713249613559003E-2</v>
      </c>
      <c r="AZ278" s="78">
        <f t="shared" si="288"/>
        <v>6.6107571217452477E-2</v>
      </c>
      <c r="BA278" s="78">
        <f t="shared" si="288"/>
        <v>6.7100411647302613E-2</v>
      </c>
      <c r="BB278" s="78">
        <f t="shared" si="288"/>
        <v>6.659083153700901E-2</v>
      </c>
      <c r="BC278" s="78">
        <f t="shared" si="288"/>
        <v>6.0530758306905574E-2</v>
      </c>
      <c r="BD278" s="78">
        <f t="shared" si="288"/>
        <v>5.6328577025950718E-2</v>
      </c>
      <c r="BE278" s="78">
        <f t="shared" si="288"/>
        <v>5.6059078153181049E-2</v>
      </c>
      <c r="BF278" s="78">
        <f t="shared" si="288"/>
        <v>5.3975230784937871E-2</v>
      </c>
      <c r="BG278" s="78">
        <f t="shared" si="288"/>
        <v>4.9998676340653553E-2</v>
      </c>
      <c r="BH278" s="78">
        <f t="shared" si="288"/>
        <v>4.5563690747174208E-2</v>
      </c>
      <c r="BI278" s="78">
        <f t="shared" si="288"/>
        <v>4.3002399992589743E-2</v>
      </c>
      <c r="BJ278" s="78">
        <f t="shared" si="288"/>
        <v>4.1025526463911881E-2</v>
      </c>
      <c r="BK278" s="65"/>
    </row>
    <row r="279" spans="1:63" s="51" customFormat="1">
      <c r="A279" s="38"/>
      <c r="N279" s="78"/>
      <c r="O279" s="78"/>
      <c r="P279" s="78"/>
      <c r="Q279" s="78"/>
      <c r="R279" s="78"/>
      <c r="S279" s="78"/>
      <c r="T279" s="78"/>
      <c r="U279" s="78"/>
      <c r="V279" s="78"/>
      <c r="W279" s="78"/>
      <c r="X279" s="78"/>
      <c r="Y279" s="78"/>
      <c r="Z279" s="78"/>
      <c r="AA279" s="78"/>
      <c r="AB279" s="78"/>
      <c r="AC279" s="78"/>
      <c r="AD279" s="78"/>
      <c r="AE279" s="78"/>
      <c r="AF279" s="78"/>
      <c r="AG279" s="78"/>
      <c r="AH279" s="78"/>
      <c r="AI279" s="78"/>
      <c r="AJ279" s="78"/>
      <c r="AK279" s="78"/>
      <c r="AL279" s="78"/>
      <c r="AM279" s="78"/>
      <c r="AN279" s="78"/>
      <c r="AO279" s="78"/>
      <c r="AP279" s="78"/>
      <c r="AQ279" s="78"/>
      <c r="AR279" s="78"/>
      <c r="AS279" s="78"/>
      <c r="AT279" s="78"/>
      <c r="AU279" s="78"/>
      <c r="AV279" s="78"/>
      <c r="AW279" s="78"/>
      <c r="AX279" s="78"/>
      <c r="AY279" s="78"/>
      <c r="AZ279" s="78"/>
      <c r="BA279" s="78"/>
      <c r="BB279" s="78"/>
      <c r="BC279" s="78"/>
      <c r="BD279" s="78"/>
      <c r="BE279" s="78"/>
      <c r="BF279" s="78"/>
      <c r="BG279" s="78"/>
      <c r="BH279" s="78"/>
      <c r="BI279" s="78"/>
      <c r="BJ279" s="78"/>
      <c r="BK279" s="65"/>
    </row>
    <row r="280" spans="1:63">
      <c r="D280" s="38" t="s">
        <v>362</v>
      </c>
    </row>
    <row r="281" spans="1:63">
      <c r="C281" s="38" t="s">
        <v>363</v>
      </c>
      <c r="D281" s="95">
        <f t="shared" ref="D281:M281" si="289">D113</f>
        <v>8.1414919999999995</v>
      </c>
      <c r="E281" s="95">
        <f t="shared" si="289"/>
        <v>8.6942769999999996</v>
      </c>
      <c r="F281" s="95">
        <f t="shared" si="289"/>
        <v>9.1461740000000002</v>
      </c>
      <c r="G281" s="95">
        <f t="shared" si="289"/>
        <v>9.6569219999999998</v>
      </c>
      <c r="H281" s="95">
        <f t="shared" si="289"/>
        <v>10.689978</v>
      </c>
      <c r="I281" s="95">
        <f t="shared" si="289"/>
        <v>11.466609</v>
      </c>
      <c r="J281" s="95">
        <f t="shared" si="289"/>
        <v>12.089806000000001</v>
      </c>
      <c r="K281" s="95">
        <f t="shared" si="289"/>
        <v>12.903219999999999</v>
      </c>
      <c r="L281" s="95">
        <f t="shared" si="289"/>
        <v>13.675647000000001</v>
      </c>
      <c r="M281" s="95">
        <f t="shared" si="289"/>
        <v>14.128594999999999</v>
      </c>
      <c r="N281" s="80">
        <f t="shared" ref="N281:BI281" si="290">N226+N238+N269</f>
        <v>14.010206831971372</v>
      </c>
      <c r="O281" s="80">
        <f t="shared" si="290"/>
        <v>14.738933783474154</v>
      </c>
      <c r="P281" s="80">
        <f t="shared" si="290"/>
        <v>15.6698129108538</v>
      </c>
      <c r="Q281" s="80">
        <f t="shared" si="290"/>
        <v>16.684245544647418</v>
      </c>
      <c r="R281" s="80">
        <f t="shared" si="290"/>
        <v>16.242113220999268</v>
      </c>
      <c r="S281" s="80">
        <f t="shared" si="290"/>
        <v>15.891951079766434</v>
      </c>
      <c r="T281" s="80">
        <f t="shared" si="290"/>
        <v>16.642553857180623</v>
      </c>
      <c r="U281" s="80">
        <f t="shared" si="290"/>
        <v>17.095828565445768</v>
      </c>
      <c r="V281" s="80">
        <f t="shared" si="290"/>
        <v>18.105676107719713</v>
      </c>
      <c r="W281" s="80">
        <f t="shared" si="290"/>
        <v>18.442067472900828</v>
      </c>
      <c r="X281" s="80">
        <f t="shared" si="290"/>
        <v>18.913037781136811</v>
      </c>
      <c r="Y281" s="80">
        <f t="shared" si="290"/>
        <v>18.492438593153299</v>
      </c>
      <c r="Z281" s="80">
        <f t="shared" si="290"/>
        <v>19.019888992767555</v>
      </c>
      <c r="AA281" s="80">
        <f t="shared" si="290"/>
        <v>19.334360925789849</v>
      </c>
      <c r="AB281" s="80">
        <f t="shared" si="290"/>
        <v>19.987682476710496</v>
      </c>
      <c r="AC281" s="80">
        <f t="shared" si="290"/>
        <v>20.158972411842868</v>
      </c>
      <c r="AD281" s="80">
        <f t="shared" si="290"/>
        <v>21.222110241192432</v>
      </c>
      <c r="AE281" s="80">
        <f t="shared" si="290"/>
        <v>21.92767883730842</v>
      </c>
      <c r="AF281" s="80">
        <f t="shared" si="290"/>
        <v>22.980334338488884</v>
      </c>
      <c r="AG281" s="80">
        <f t="shared" si="290"/>
        <v>23.647286385077933</v>
      </c>
      <c r="AH281" s="80">
        <f t="shared" si="290"/>
        <v>24.03332066114994</v>
      </c>
      <c r="AI281" s="80">
        <f t="shared" si="290"/>
        <v>23.748080194815184</v>
      </c>
      <c r="AJ281" s="80">
        <f t="shared" si="290"/>
        <v>23.76790192950768</v>
      </c>
      <c r="AK281" s="80">
        <f t="shared" si="290"/>
        <v>23.484332240744394</v>
      </c>
      <c r="AL281" s="80">
        <f t="shared" si="290"/>
        <v>22.550651254114019</v>
      </c>
      <c r="AM281" s="80">
        <f t="shared" si="290"/>
        <v>21.65470602649539</v>
      </c>
      <c r="AN281" s="80">
        <f t="shared" si="290"/>
        <v>22.107547817631403</v>
      </c>
      <c r="AO281" s="80">
        <f t="shared" si="290"/>
        <v>21.946667972946848</v>
      </c>
      <c r="AP281" s="80">
        <f t="shared" si="290"/>
        <v>21.540752144306907</v>
      </c>
      <c r="AQ281" s="80">
        <f t="shared" si="290"/>
        <v>21.476568022689019</v>
      </c>
      <c r="AR281" s="80">
        <f t="shared" si="290"/>
        <v>21.089309113202837</v>
      </c>
      <c r="AS281" s="80">
        <f t="shared" si="290"/>
        <v>20.623012170634819</v>
      </c>
      <c r="AT281" s="80">
        <f t="shared" si="290"/>
        <v>20.486593914437599</v>
      </c>
      <c r="AU281" s="80">
        <f t="shared" si="290"/>
        <v>19.591850759642846</v>
      </c>
      <c r="AV281" s="80">
        <f t="shared" si="290"/>
        <v>19.137559348115843</v>
      </c>
      <c r="AW281" s="80">
        <f t="shared" si="290"/>
        <v>18.505211553737283</v>
      </c>
      <c r="AX281" s="80">
        <f t="shared" si="290"/>
        <v>17.73487476311653</v>
      </c>
      <c r="AY281" s="80">
        <f t="shared" si="290"/>
        <v>17.247609834788644</v>
      </c>
      <c r="AZ281" s="80">
        <f t="shared" si="290"/>
        <v>16.179755763423504</v>
      </c>
      <c r="BA281" s="80">
        <f t="shared" si="290"/>
        <v>15.266844195002079</v>
      </c>
      <c r="BB281" s="80">
        <f t="shared" si="290"/>
        <v>14.235892978683218</v>
      </c>
      <c r="BC281" s="80">
        <f t="shared" si="290"/>
        <v>13.524776888563276</v>
      </c>
      <c r="BD281" s="80">
        <f t="shared" si="290"/>
        <v>12.875329380651781</v>
      </c>
      <c r="BE281" s="80">
        <f t="shared" si="290"/>
        <v>12.214699950255381</v>
      </c>
      <c r="BF281" s="80">
        <f t="shared" si="290"/>
        <v>11.946199477476402</v>
      </c>
      <c r="BG281" s="80">
        <f t="shared" si="290"/>
        <v>11.683705288287861</v>
      </c>
      <c r="BH281" s="80">
        <f t="shared" si="290"/>
        <v>11.533117566688047</v>
      </c>
      <c r="BI281" s="80">
        <f t="shared" si="290"/>
        <v>11.358007569647894</v>
      </c>
      <c r="BJ281" s="113">
        <f>BJ226+BJ238+BJ269</f>
        <v>11.145490593136897</v>
      </c>
      <c r="BK281" s="129">
        <f>BK226+BK238+BK269</f>
        <v>9.9861869669344188</v>
      </c>
    </row>
    <row r="282" spans="1:63">
      <c r="C282" s="38" t="s">
        <v>364</v>
      </c>
      <c r="D282" s="95">
        <f t="shared" ref="D282:M282" si="291">D114</f>
        <v>2.6698770000000001</v>
      </c>
      <c r="E282" s="95">
        <f t="shared" si="291"/>
        <v>2.933405</v>
      </c>
      <c r="F282" s="95">
        <f t="shared" si="291"/>
        <v>3.1430069999999999</v>
      </c>
      <c r="G282" s="95">
        <f t="shared" si="291"/>
        <v>3.4167100000000001</v>
      </c>
      <c r="H282" s="95">
        <f t="shared" si="291"/>
        <v>3.7585839999999999</v>
      </c>
      <c r="I282" s="95">
        <f t="shared" si="291"/>
        <v>3.974291</v>
      </c>
      <c r="J282" s="95">
        <f t="shared" si="291"/>
        <v>4.1777870000000004</v>
      </c>
      <c r="K282" s="95">
        <f t="shared" si="291"/>
        <v>4.4311409999999993</v>
      </c>
      <c r="L282" s="95">
        <f t="shared" si="291"/>
        <v>4.732316</v>
      </c>
      <c r="M282" s="95">
        <f t="shared" si="291"/>
        <v>4.9531099999999997</v>
      </c>
      <c r="N282" s="80">
        <f t="shared" ref="N282:BJ282" si="292">N227+N239+N262+N275</f>
        <v>4.8053144319082302</v>
      </c>
      <c r="O282" s="80">
        <f t="shared" si="292"/>
        <v>4.9582261348897072</v>
      </c>
      <c r="P282" s="80">
        <f t="shared" si="292"/>
        <v>5.0211430546971041</v>
      </c>
      <c r="Q282" s="80">
        <f t="shared" si="292"/>
        <v>5.404598573949003</v>
      </c>
      <c r="R282" s="80">
        <f t="shared" si="292"/>
        <v>5.2667876411886763</v>
      </c>
      <c r="S282" s="80">
        <f t="shared" si="292"/>
        <v>5.1781130870305425</v>
      </c>
      <c r="T282" s="80">
        <f t="shared" si="292"/>
        <v>5.3535854241829215</v>
      </c>
      <c r="U282" s="80">
        <f t="shared" si="292"/>
        <v>5.465541089790122</v>
      </c>
      <c r="V282" s="80">
        <f t="shared" si="292"/>
        <v>5.6275580388685755</v>
      </c>
      <c r="W282" s="80">
        <f t="shared" si="292"/>
        <v>5.8094220841549431</v>
      </c>
      <c r="X282" s="80">
        <f t="shared" si="292"/>
        <v>5.6251058950404618</v>
      </c>
      <c r="Y282" s="80">
        <f t="shared" si="292"/>
        <v>5.3320431415728313</v>
      </c>
      <c r="Z282" s="80">
        <f t="shared" si="292"/>
        <v>5.5129688038856042</v>
      </c>
      <c r="AA282" s="80">
        <f t="shared" si="292"/>
        <v>5.9594841600804518</v>
      </c>
      <c r="AB282" s="80">
        <f t="shared" si="292"/>
        <v>6.5228816639363476</v>
      </c>
      <c r="AC282" s="80">
        <f t="shared" si="292"/>
        <v>6.86682763259578</v>
      </c>
      <c r="AD282" s="80">
        <f t="shared" si="292"/>
        <v>7.622619556791653</v>
      </c>
      <c r="AE282" s="80">
        <f t="shared" si="292"/>
        <v>8.2141804041030362</v>
      </c>
      <c r="AF282" s="80">
        <f t="shared" si="292"/>
        <v>9.0975435176203057</v>
      </c>
      <c r="AG282" s="80">
        <f t="shared" si="292"/>
        <v>9.8346264608888525</v>
      </c>
      <c r="AH282" s="80">
        <f t="shared" si="292"/>
        <v>10.367527713347734</v>
      </c>
      <c r="AI282" s="80">
        <f t="shared" si="292"/>
        <v>10.42055563625637</v>
      </c>
      <c r="AJ282" s="80">
        <f t="shared" si="292"/>
        <v>10.855933761317377</v>
      </c>
      <c r="AK282" s="80">
        <f t="shared" si="292"/>
        <v>11.523685886570201</v>
      </c>
      <c r="AL282" s="80">
        <f t="shared" si="292"/>
        <v>12.617677477279438</v>
      </c>
      <c r="AM282" s="80">
        <f t="shared" si="292"/>
        <v>13.153908281491123</v>
      </c>
      <c r="AN282" s="80">
        <f t="shared" si="292"/>
        <v>14.059017616639693</v>
      </c>
      <c r="AO282" s="80">
        <f t="shared" si="292"/>
        <v>14.667100839161272</v>
      </c>
      <c r="AP282" s="80">
        <f t="shared" si="292"/>
        <v>14.831192840927233</v>
      </c>
      <c r="AQ282" s="80">
        <f t="shared" si="292"/>
        <v>15.193310092908593</v>
      </c>
      <c r="AR282" s="80">
        <f t="shared" si="292"/>
        <v>15.314084188957352</v>
      </c>
      <c r="AS282" s="80">
        <f t="shared" si="292"/>
        <v>15.73852516415621</v>
      </c>
      <c r="AT282" s="80">
        <f t="shared" si="292"/>
        <v>16.601381902378396</v>
      </c>
      <c r="AU282" s="80">
        <f t="shared" si="292"/>
        <v>17.383069773416366</v>
      </c>
      <c r="AV282" s="80">
        <f t="shared" si="292"/>
        <v>18.159442447844516</v>
      </c>
      <c r="AW282" s="80">
        <f t="shared" si="292"/>
        <v>19.024039727109045</v>
      </c>
      <c r="AX282" s="80">
        <f t="shared" si="292"/>
        <v>19.796897509274622</v>
      </c>
      <c r="AY282" s="80">
        <f t="shared" si="292"/>
        <v>20.661513171639125</v>
      </c>
      <c r="AZ282" s="80">
        <f t="shared" si="292"/>
        <v>20.134182806979943</v>
      </c>
      <c r="BA282" s="80">
        <f t="shared" si="292"/>
        <v>19.771456967947071</v>
      </c>
      <c r="BB282" s="80">
        <f t="shared" si="292"/>
        <v>20.375309046932596</v>
      </c>
      <c r="BC282" s="80">
        <f t="shared" si="292"/>
        <v>20.619423476062209</v>
      </c>
      <c r="BD282" s="80">
        <f t="shared" si="292"/>
        <v>21.186169890651602</v>
      </c>
      <c r="BE282" s="80">
        <f t="shared" si="292"/>
        <v>21.568856298190994</v>
      </c>
      <c r="BF282" s="80">
        <f t="shared" si="292"/>
        <v>22.291338472725116</v>
      </c>
      <c r="BG282" s="80">
        <f t="shared" si="292"/>
        <v>23.258426204980182</v>
      </c>
      <c r="BH282" s="80">
        <f t="shared" si="292"/>
        <v>24.220185049826842</v>
      </c>
      <c r="BI282" s="80">
        <f t="shared" si="292"/>
        <v>24.45589818405205</v>
      </c>
      <c r="BJ282" s="113">
        <f t="shared" si="292"/>
        <v>24.172404836765644</v>
      </c>
      <c r="BK282" s="124">
        <f t="array" ref="BK282">TREND(AZ282:BJ282,AZ249:BJ249,BK249)</f>
        <v>25.105605224752708</v>
      </c>
    </row>
    <row r="283" spans="1:63" s="51" customFormat="1">
      <c r="C283" s="51" t="s">
        <v>365</v>
      </c>
      <c r="D283" s="122">
        <f t="shared" ref="D283:M283" si="293">D115</f>
        <v>10.811368999999999</v>
      </c>
      <c r="E283" s="122">
        <f t="shared" si="293"/>
        <v>11.627682</v>
      </c>
      <c r="F283" s="122">
        <f t="shared" si="293"/>
        <v>12.289180999999999</v>
      </c>
      <c r="G283" s="122">
        <f t="shared" si="293"/>
        <v>13.073632</v>
      </c>
      <c r="H283" s="122">
        <f t="shared" si="293"/>
        <v>14.448561999999999</v>
      </c>
      <c r="I283" s="122">
        <f t="shared" si="293"/>
        <v>15.440899999999999</v>
      </c>
      <c r="J283" s="122">
        <f t="shared" si="293"/>
        <v>16.267593000000002</v>
      </c>
      <c r="K283" s="122">
        <f t="shared" si="293"/>
        <v>17.334360999999998</v>
      </c>
      <c r="L283" s="122">
        <f t="shared" si="293"/>
        <v>18.407963000000002</v>
      </c>
      <c r="M283" s="122">
        <f t="shared" si="293"/>
        <v>19.081704999999999</v>
      </c>
      <c r="N283" s="115">
        <f>SUM(N281:N282)</f>
        <v>18.815521263879603</v>
      </c>
      <c r="O283" s="115">
        <f t="shared" ref="O283:BJ283" si="294">SUM(O281:O282)</f>
        <v>19.697159918363862</v>
      </c>
      <c r="P283" s="115">
        <f t="shared" si="294"/>
        <v>20.690955965550906</v>
      </c>
      <c r="Q283" s="115">
        <f t="shared" si="294"/>
        <v>22.08884411859642</v>
      </c>
      <c r="R283" s="115">
        <f t="shared" si="294"/>
        <v>21.508900862187943</v>
      </c>
      <c r="S283" s="115">
        <f t="shared" si="294"/>
        <v>21.070064166796975</v>
      </c>
      <c r="T283" s="115">
        <f t="shared" si="294"/>
        <v>21.996139281363543</v>
      </c>
      <c r="U283" s="115">
        <f t="shared" si="294"/>
        <v>22.56136965523589</v>
      </c>
      <c r="V283" s="115">
        <f t="shared" si="294"/>
        <v>23.733234146588288</v>
      </c>
      <c r="W283" s="115">
        <f t="shared" si="294"/>
        <v>24.25148955705577</v>
      </c>
      <c r="X283" s="115">
        <f t="shared" si="294"/>
        <v>24.538143676177274</v>
      </c>
      <c r="Y283" s="115">
        <f t="shared" si="294"/>
        <v>23.824481734726131</v>
      </c>
      <c r="Z283" s="115">
        <f t="shared" si="294"/>
        <v>24.532857796653161</v>
      </c>
      <c r="AA283" s="115">
        <f t="shared" si="294"/>
        <v>25.293845085870302</v>
      </c>
      <c r="AB283" s="115">
        <f t="shared" si="294"/>
        <v>26.510564140646842</v>
      </c>
      <c r="AC283" s="115">
        <f t="shared" si="294"/>
        <v>27.025800044438647</v>
      </c>
      <c r="AD283" s="115">
        <f t="shared" si="294"/>
        <v>28.844729797984087</v>
      </c>
      <c r="AE283" s="115">
        <f t="shared" si="294"/>
        <v>30.141859241411456</v>
      </c>
      <c r="AF283" s="115">
        <f t="shared" si="294"/>
        <v>32.07787785610919</v>
      </c>
      <c r="AG283" s="115">
        <f t="shared" si="294"/>
        <v>33.481912845966789</v>
      </c>
      <c r="AH283" s="115">
        <f t="shared" si="294"/>
        <v>34.40084837449767</v>
      </c>
      <c r="AI283" s="115">
        <f t="shared" si="294"/>
        <v>34.168635831071555</v>
      </c>
      <c r="AJ283" s="115">
        <f t="shared" si="294"/>
        <v>34.623835690825061</v>
      </c>
      <c r="AK283" s="115">
        <f t="shared" si="294"/>
        <v>35.008018127314593</v>
      </c>
      <c r="AL283" s="115">
        <f t="shared" si="294"/>
        <v>35.168328731393458</v>
      </c>
      <c r="AM283" s="115">
        <f t="shared" si="294"/>
        <v>34.808614307986517</v>
      </c>
      <c r="AN283" s="115">
        <f t="shared" si="294"/>
        <v>36.166565434271092</v>
      </c>
      <c r="AO283" s="115">
        <f t="shared" si="294"/>
        <v>36.61376881210812</v>
      </c>
      <c r="AP283" s="115">
        <f t="shared" si="294"/>
        <v>36.371944985234137</v>
      </c>
      <c r="AQ283" s="115">
        <f t="shared" si="294"/>
        <v>36.669878115597612</v>
      </c>
      <c r="AR283" s="115">
        <f t="shared" si="294"/>
        <v>36.40339330216019</v>
      </c>
      <c r="AS283" s="115">
        <f t="shared" si="294"/>
        <v>36.361537334791031</v>
      </c>
      <c r="AT283" s="115">
        <f t="shared" si="294"/>
        <v>37.087975816815998</v>
      </c>
      <c r="AU283" s="115">
        <f t="shared" si="294"/>
        <v>36.974920533059212</v>
      </c>
      <c r="AV283" s="115">
        <f t="shared" si="294"/>
        <v>37.297001795960355</v>
      </c>
      <c r="AW283" s="115">
        <f t="shared" si="294"/>
        <v>37.529251280846324</v>
      </c>
      <c r="AX283" s="115">
        <f t="shared" si="294"/>
        <v>37.531772272391152</v>
      </c>
      <c r="AY283" s="115">
        <f t="shared" si="294"/>
        <v>37.90912300642777</v>
      </c>
      <c r="AZ283" s="115">
        <f t="shared" si="294"/>
        <v>36.313938570403451</v>
      </c>
      <c r="BA283" s="115">
        <f t="shared" si="294"/>
        <v>35.038301162949153</v>
      </c>
      <c r="BB283" s="115">
        <f t="shared" si="294"/>
        <v>34.61120202561581</v>
      </c>
      <c r="BC283" s="115">
        <f t="shared" si="294"/>
        <v>34.144200364625483</v>
      </c>
      <c r="BD283" s="115">
        <f t="shared" si="294"/>
        <v>34.061499271303383</v>
      </c>
      <c r="BE283" s="115">
        <f t="shared" si="294"/>
        <v>33.783556248446374</v>
      </c>
      <c r="BF283" s="115">
        <f t="shared" si="294"/>
        <v>34.237537950201514</v>
      </c>
      <c r="BG283" s="115">
        <f t="shared" si="294"/>
        <v>34.942131493268043</v>
      </c>
      <c r="BH283" s="115">
        <f t="shared" si="294"/>
        <v>35.753302616514887</v>
      </c>
      <c r="BI283" s="115">
        <f t="shared" si="294"/>
        <v>35.813905753699942</v>
      </c>
      <c r="BJ283" s="115">
        <f t="shared" si="294"/>
        <v>35.317895429902542</v>
      </c>
      <c r="BK283" s="65"/>
    </row>
    <row r="284" spans="1:63">
      <c r="C284" s="38" t="s">
        <v>366</v>
      </c>
      <c r="D284" s="130">
        <f>D281*D287</f>
        <v>101.19874555999999</v>
      </c>
      <c r="E284" s="130">
        <f t="shared" ref="D284:L285" si="295">E281*E287</f>
        <v>108.06986310999999</v>
      </c>
      <c r="F284" s="130">
        <f t="shared" si="295"/>
        <v>113.68694282</v>
      </c>
      <c r="G284" s="130">
        <f t="shared" si="295"/>
        <v>120.03554045999999</v>
      </c>
      <c r="H284" s="130">
        <f t="shared" si="295"/>
        <v>132.87642653999998</v>
      </c>
      <c r="I284" s="130">
        <f t="shared" si="295"/>
        <v>142.52994987</v>
      </c>
      <c r="J284" s="130">
        <f t="shared" si="295"/>
        <v>150.27628858</v>
      </c>
      <c r="K284" s="130">
        <f t="shared" si="295"/>
        <v>160.38702459999999</v>
      </c>
      <c r="L284" s="130">
        <f t="shared" si="295"/>
        <v>169.98829221000003</v>
      </c>
      <c r="M284" s="130">
        <f>M281*M287</f>
        <v>175.61843584999997</v>
      </c>
      <c r="N284" s="131">
        <f t="shared" ref="N284:BJ284" si="296">N230*N226+N242*N238+N270*N269</f>
        <v>174.45153477315205</v>
      </c>
      <c r="O284" s="131">
        <f t="shared" si="296"/>
        <v>184.95680395093865</v>
      </c>
      <c r="P284" s="131">
        <f t="shared" si="296"/>
        <v>195.05104795707354</v>
      </c>
      <c r="Q284" s="131">
        <f t="shared" si="296"/>
        <v>204.98599256906169</v>
      </c>
      <c r="R284" s="131">
        <f t="shared" si="296"/>
        <v>201.48839154948334</v>
      </c>
      <c r="S284" s="131">
        <f t="shared" si="296"/>
        <v>203.84609161920747</v>
      </c>
      <c r="T284" s="131">
        <f t="shared" si="296"/>
        <v>214.36205500636211</v>
      </c>
      <c r="U284" s="131">
        <f t="shared" si="296"/>
        <v>217.99264383786286</v>
      </c>
      <c r="V284" s="131">
        <f t="shared" si="296"/>
        <v>226.80742339184741</v>
      </c>
      <c r="W284" s="131">
        <f t="shared" si="296"/>
        <v>225.98350242604195</v>
      </c>
      <c r="X284" s="131">
        <f t="shared" si="296"/>
        <v>241.34204632633944</v>
      </c>
      <c r="Y284" s="131">
        <f t="shared" si="296"/>
        <v>246.81737222088685</v>
      </c>
      <c r="Z284" s="131">
        <f t="shared" si="296"/>
        <v>254.21835099078743</v>
      </c>
      <c r="AA284" s="131">
        <f t="shared" si="296"/>
        <v>257.08214871285065</v>
      </c>
      <c r="AB284" s="131">
        <f t="shared" si="296"/>
        <v>270.01018963955465</v>
      </c>
      <c r="AC284" s="131">
        <f t="shared" si="296"/>
        <v>276.20461462514822</v>
      </c>
      <c r="AD284" s="131">
        <f t="shared" si="296"/>
        <v>289.8176995152873</v>
      </c>
      <c r="AE284" s="131">
        <f t="shared" si="296"/>
        <v>309.42571354875741</v>
      </c>
      <c r="AF284" s="131">
        <f t="shared" si="296"/>
        <v>329.30487597394625</v>
      </c>
      <c r="AG284" s="131">
        <f t="shared" si="296"/>
        <v>350.9237496800335</v>
      </c>
      <c r="AH284" s="131">
        <f t="shared" si="296"/>
        <v>346.05035762412831</v>
      </c>
      <c r="AI284" s="131">
        <f t="shared" si="296"/>
        <v>342.16070577912922</v>
      </c>
      <c r="AJ284" s="131">
        <f t="shared" si="296"/>
        <v>336.79434668132399</v>
      </c>
      <c r="AK284" s="131">
        <f t="shared" si="296"/>
        <v>327.93693412068342</v>
      </c>
      <c r="AL284" s="131">
        <f t="shared" si="296"/>
        <v>322.18250798560803</v>
      </c>
      <c r="AM284" s="131">
        <f t="shared" si="296"/>
        <v>317.95665626043262</v>
      </c>
      <c r="AN284" s="131">
        <f t="shared" si="296"/>
        <v>318.89044081938653</v>
      </c>
      <c r="AO284" s="131">
        <f t="shared" si="296"/>
        <v>318.37871436226914</v>
      </c>
      <c r="AP284" s="131">
        <f t="shared" si="296"/>
        <v>319.40667772649851</v>
      </c>
      <c r="AQ284" s="131">
        <f t="shared" si="296"/>
        <v>318.53003629300594</v>
      </c>
      <c r="AR284" s="131">
        <f t="shared" si="296"/>
        <v>312.78910240855242</v>
      </c>
      <c r="AS284" s="131">
        <f t="shared" si="296"/>
        <v>310.10115383117994</v>
      </c>
      <c r="AT284" s="131">
        <f t="shared" si="296"/>
        <v>308.45229608852071</v>
      </c>
      <c r="AU284" s="131">
        <f t="shared" si="296"/>
        <v>298.15496923651608</v>
      </c>
      <c r="AV284" s="131">
        <f t="shared" si="296"/>
        <v>291.64074202465366</v>
      </c>
      <c r="AW284" s="131">
        <f t="shared" si="296"/>
        <v>279.49986656897295</v>
      </c>
      <c r="AX284" s="131">
        <f t="shared" si="296"/>
        <v>270.96739251892433</v>
      </c>
      <c r="AY284" s="131">
        <f t="shared" si="296"/>
        <v>261.99404653599225</v>
      </c>
      <c r="AZ284" s="131">
        <f t="shared" si="296"/>
        <v>249.53544168235538</v>
      </c>
      <c r="BA284" s="131">
        <f t="shared" si="296"/>
        <v>241.34607729817654</v>
      </c>
      <c r="BB284" s="131">
        <f t="shared" si="296"/>
        <v>228.13204244334361</v>
      </c>
      <c r="BC284" s="131">
        <f t="shared" si="296"/>
        <v>220.09786161333753</v>
      </c>
      <c r="BD284" s="131">
        <f t="shared" si="296"/>
        <v>210.36678136446821</v>
      </c>
      <c r="BE284" s="131">
        <f t="shared" si="296"/>
        <v>203.07687468971625</v>
      </c>
      <c r="BF284" s="131">
        <f t="shared" si="296"/>
        <v>202.89708129071875</v>
      </c>
      <c r="BG284" s="131">
        <f t="shared" si="296"/>
        <v>199.82696306569807</v>
      </c>
      <c r="BH284" s="131">
        <f t="shared" si="296"/>
        <v>198.51480382777839</v>
      </c>
      <c r="BI284" s="131">
        <f t="shared" si="296"/>
        <v>199.25025931348779</v>
      </c>
      <c r="BJ284" s="131">
        <f t="shared" si="296"/>
        <v>201.46451314308209</v>
      </c>
    </row>
    <row r="285" spans="1:63">
      <c r="C285" s="38" t="s">
        <v>367</v>
      </c>
      <c r="D285" s="130">
        <f t="shared" si="295"/>
        <v>14.417335800000002</v>
      </c>
      <c r="E285" s="130">
        <f t="shared" si="295"/>
        <v>15.840387000000002</v>
      </c>
      <c r="F285" s="130">
        <f t="shared" si="295"/>
        <v>16.972237800000002</v>
      </c>
      <c r="G285" s="130">
        <f t="shared" si="295"/>
        <v>18.450234000000002</v>
      </c>
      <c r="H285" s="130">
        <f t="shared" si="295"/>
        <v>20.2963536</v>
      </c>
      <c r="I285" s="130">
        <f t="shared" si="295"/>
        <v>21.461171400000001</v>
      </c>
      <c r="J285" s="130">
        <f t="shared" si="295"/>
        <v>22.560049800000005</v>
      </c>
      <c r="K285" s="130">
        <f t="shared" si="295"/>
        <v>23.928161399999997</v>
      </c>
      <c r="L285" s="130">
        <f t="shared" si="295"/>
        <v>25.554506400000001</v>
      </c>
      <c r="M285" s="130">
        <f>M282*M288</f>
        <v>26.746794000000001</v>
      </c>
      <c r="N285" s="131">
        <f t="shared" ref="N285:BJ285" si="297">N231*N227+N243*N239+N265*N262+N276*N275</f>
        <v>25.868965226847934</v>
      </c>
      <c r="O285" s="131">
        <f t="shared" si="297"/>
        <v>26.787596049061342</v>
      </c>
      <c r="P285" s="131">
        <f t="shared" si="297"/>
        <v>27.473652042926464</v>
      </c>
      <c r="Q285" s="131">
        <f t="shared" si="297"/>
        <v>28.962607430938291</v>
      </c>
      <c r="R285" s="131">
        <f t="shared" si="297"/>
        <v>28.276808450516675</v>
      </c>
      <c r="S285" s="131">
        <f t="shared" si="297"/>
        <v>27.849908380792524</v>
      </c>
      <c r="T285" s="131">
        <f t="shared" si="297"/>
        <v>28.918744993637851</v>
      </c>
      <c r="U285" s="131">
        <f t="shared" si="297"/>
        <v>28.827956162137138</v>
      </c>
      <c r="V285" s="131">
        <f t="shared" si="297"/>
        <v>29.8280766081526</v>
      </c>
      <c r="W285" s="131">
        <f t="shared" si="297"/>
        <v>30.008397573958071</v>
      </c>
      <c r="X285" s="131">
        <f t="shared" si="297"/>
        <v>30.578953673660557</v>
      </c>
      <c r="Y285" s="131">
        <f t="shared" si="297"/>
        <v>30.091527779113207</v>
      </c>
      <c r="Z285" s="131">
        <f t="shared" si="297"/>
        <v>30.091949009212506</v>
      </c>
      <c r="AA285" s="131">
        <f t="shared" si="297"/>
        <v>31.089751287149344</v>
      </c>
      <c r="AB285" s="131">
        <f t="shared" si="297"/>
        <v>32.964510360445374</v>
      </c>
      <c r="AC285" s="131">
        <f t="shared" si="297"/>
        <v>33.68878537485179</v>
      </c>
      <c r="AD285" s="131">
        <f t="shared" si="297"/>
        <v>35.361200484712718</v>
      </c>
      <c r="AE285" s="131">
        <f t="shared" si="297"/>
        <v>40.853586451242577</v>
      </c>
      <c r="AF285" s="131">
        <f t="shared" si="297"/>
        <v>46.396624026053843</v>
      </c>
      <c r="AG285" s="131">
        <f t="shared" si="297"/>
        <v>55.992350319966505</v>
      </c>
      <c r="AH285" s="131">
        <f t="shared" si="297"/>
        <v>64.888242375871712</v>
      </c>
      <c r="AI285" s="131">
        <f t="shared" si="297"/>
        <v>69.42149422087077</v>
      </c>
      <c r="AJ285" s="131">
        <f t="shared" si="297"/>
        <v>75.27055331867605</v>
      </c>
      <c r="AK285" s="131">
        <f t="shared" si="297"/>
        <v>84.28886587931656</v>
      </c>
      <c r="AL285" s="131">
        <f t="shared" si="297"/>
        <v>99.214592014391897</v>
      </c>
      <c r="AM285" s="131">
        <f t="shared" si="297"/>
        <v>111.64634373956746</v>
      </c>
      <c r="AN285" s="131">
        <f t="shared" si="297"/>
        <v>121.97555918061339</v>
      </c>
      <c r="AO285" s="131">
        <f t="shared" si="297"/>
        <v>131.9803856377309</v>
      </c>
      <c r="AP285" s="131">
        <f t="shared" si="297"/>
        <v>139.15832227350145</v>
      </c>
      <c r="AQ285" s="131">
        <f t="shared" si="297"/>
        <v>148.40176370699407</v>
      </c>
      <c r="AR285" s="131">
        <f t="shared" si="297"/>
        <v>153.17729759144757</v>
      </c>
      <c r="AS285" s="131">
        <f t="shared" si="297"/>
        <v>162.46214616882008</v>
      </c>
      <c r="AT285" s="131">
        <f t="shared" si="297"/>
        <v>175.21310391147938</v>
      </c>
      <c r="AU285" s="131">
        <f t="shared" si="297"/>
        <v>188.40663076348383</v>
      </c>
      <c r="AV285" s="131">
        <f t="shared" si="297"/>
        <v>202.3222579753463</v>
      </c>
      <c r="AW285" s="131">
        <f t="shared" si="297"/>
        <v>214.3022334310271</v>
      </c>
      <c r="AX285" s="131">
        <f t="shared" si="297"/>
        <v>229.91430748107564</v>
      </c>
      <c r="AY285" s="131">
        <f t="shared" si="297"/>
        <v>243.55375346400774</v>
      </c>
      <c r="AZ285" s="131">
        <f t="shared" si="297"/>
        <v>250.86355831764467</v>
      </c>
      <c r="BA285" s="131">
        <f t="shared" si="297"/>
        <v>254.38682270182341</v>
      </c>
      <c r="BB285" s="131">
        <f t="shared" si="297"/>
        <v>263.90015755665638</v>
      </c>
      <c r="BC285" s="131">
        <f t="shared" si="297"/>
        <v>275.79593838666256</v>
      </c>
      <c r="BD285" s="131">
        <f t="shared" si="297"/>
        <v>286.8142186355318</v>
      </c>
      <c r="BE285" s="131">
        <f t="shared" si="297"/>
        <v>298.77022531028376</v>
      </c>
      <c r="BF285" s="131">
        <f t="shared" si="297"/>
        <v>315.36181870928124</v>
      </c>
      <c r="BG285" s="131">
        <f t="shared" si="297"/>
        <v>330.338536934302</v>
      </c>
      <c r="BH285" s="131">
        <f t="shared" si="297"/>
        <v>345.64899617222159</v>
      </c>
      <c r="BI285" s="131">
        <f t="shared" si="297"/>
        <v>356.17654068651223</v>
      </c>
      <c r="BJ285" s="131">
        <f t="shared" si="297"/>
        <v>360.8809868569179</v>
      </c>
    </row>
    <row r="286" spans="1:63" s="51" customFormat="1">
      <c r="C286" s="51" t="s">
        <v>368</v>
      </c>
      <c r="D286" s="104">
        <f t="shared" ref="D286:M286" si="298">D133</f>
        <v>112.14729999999999</v>
      </c>
      <c r="E286" s="104">
        <f t="shared" si="298"/>
        <v>122.44489999999998</v>
      </c>
      <c r="F286" s="104">
        <f t="shared" si="298"/>
        <v>128.3982</v>
      </c>
      <c r="G286" s="104">
        <f t="shared" si="298"/>
        <v>136.28229999999999</v>
      </c>
      <c r="H286" s="104">
        <f t="shared" si="298"/>
        <v>152.37230000000002</v>
      </c>
      <c r="I286" s="104">
        <f t="shared" si="298"/>
        <v>162.66990000000001</v>
      </c>
      <c r="J286" s="104">
        <f t="shared" si="298"/>
        <v>172.8066</v>
      </c>
      <c r="K286" s="104">
        <f t="shared" si="298"/>
        <v>179.8862</v>
      </c>
      <c r="L286" s="104">
        <f t="shared" si="298"/>
        <v>187.60940000000002</v>
      </c>
      <c r="M286" s="104">
        <f t="shared" si="298"/>
        <v>192.59730000000002</v>
      </c>
      <c r="N286" s="104">
        <f>SUM(N284:N285)</f>
        <v>200.32049999999998</v>
      </c>
      <c r="O286" s="104">
        <f t="shared" ref="O286:BJ286" si="299">SUM(O284:O285)</f>
        <v>211.74439999999998</v>
      </c>
      <c r="P286" s="104">
        <f t="shared" si="299"/>
        <v>222.5247</v>
      </c>
      <c r="Q286" s="104">
        <f t="shared" si="299"/>
        <v>233.9486</v>
      </c>
      <c r="R286" s="104">
        <f t="shared" si="299"/>
        <v>229.76520000000002</v>
      </c>
      <c r="S286" s="104">
        <f t="shared" si="299"/>
        <v>231.696</v>
      </c>
      <c r="T286" s="104">
        <f t="shared" si="299"/>
        <v>243.28079999999997</v>
      </c>
      <c r="U286" s="104">
        <f t="shared" si="299"/>
        <v>246.82059999999998</v>
      </c>
      <c r="V286" s="104">
        <f t="shared" si="299"/>
        <v>256.63549999999998</v>
      </c>
      <c r="W286" s="104">
        <f t="shared" si="299"/>
        <v>255.99190000000002</v>
      </c>
      <c r="X286" s="104">
        <f t="shared" si="299"/>
        <v>271.92099999999999</v>
      </c>
      <c r="Y286" s="104">
        <f t="shared" si="299"/>
        <v>276.90890000000007</v>
      </c>
      <c r="Z286" s="104">
        <f t="shared" si="299"/>
        <v>284.31029999999993</v>
      </c>
      <c r="AA286" s="104">
        <f t="shared" si="299"/>
        <v>288.17189999999999</v>
      </c>
      <c r="AB286" s="104">
        <f t="shared" si="299"/>
        <v>302.97470000000004</v>
      </c>
      <c r="AC286" s="104">
        <f t="shared" si="299"/>
        <v>309.89340000000004</v>
      </c>
      <c r="AD286" s="104">
        <f t="shared" si="299"/>
        <v>325.1789</v>
      </c>
      <c r="AE286" s="104">
        <f t="shared" si="299"/>
        <v>350.27929999999998</v>
      </c>
      <c r="AF286" s="104">
        <f t="shared" si="299"/>
        <v>375.70150000000012</v>
      </c>
      <c r="AG286" s="104">
        <f t="shared" si="299"/>
        <v>406.91610000000003</v>
      </c>
      <c r="AH286" s="104">
        <f t="shared" si="299"/>
        <v>410.93860000000001</v>
      </c>
      <c r="AI286" s="104">
        <f t="shared" si="299"/>
        <v>411.5822</v>
      </c>
      <c r="AJ286" s="104">
        <f t="shared" si="299"/>
        <v>412.06490000000002</v>
      </c>
      <c r="AK286" s="104">
        <f t="shared" si="299"/>
        <v>412.22579999999999</v>
      </c>
      <c r="AL286" s="104">
        <f t="shared" si="299"/>
        <v>421.39709999999991</v>
      </c>
      <c r="AM286" s="104">
        <f t="shared" si="299"/>
        <v>429.60300000000007</v>
      </c>
      <c r="AN286" s="104">
        <f t="shared" si="299"/>
        <v>440.86599999999993</v>
      </c>
      <c r="AO286" s="104">
        <f t="shared" si="299"/>
        <v>450.35910000000001</v>
      </c>
      <c r="AP286" s="104">
        <f t="shared" si="299"/>
        <v>458.56499999999994</v>
      </c>
      <c r="AQ286" s="104">
        <f t="shared" si="299"/>
        <v>466.93180000000001</v>
      </c>
      <c r="AR286" s="104">
        <f t="shared" si="299"/>
        <v>465.96640000000002</v>
      </c>
      <c r="AS286" s="104">
        <f t="shared" si="299"/>
        <v>472.56330000000003</v>
      </c>
      <c r="AT286" s="104">
        <f t="shared" si="299"/>
        <v>483.66540000000009</v>
      </c>
      <c r="AU286" s="104">
        <f t="shared" si="299"/>
        <v>486.56159999999988</v>
      </c>
      <c r="AV286" s="104">
        <f t="shared" si="299"/>
        <v>493.96299999999997</v>
      </c>
      <c r="AW286" s="104">
        <f t="shared" si="299"/>
        <v>493.80210000000005</v>
      </c>
      <c r="AX286" s="104">
        <f t="shared" si="299"/>
        <v>500.88169999999997</v>
      </c>
      <c r="AY286" s="104">
        <f t="shared" si="299"/>
        <v>505.5478</v>
      </c>
      <c r="AZ286" s="104">
        <f t="shared" si="299"/>
        <v>500.39900000000006</v>
      </c>
      <c r="BA286" s="104">
        <f t="shared" si="299"/>
        <v>495.73289999999997</v>
      </c>
      <c r="BB286" s="104">
        <f t="shared" si="299"/>
        <v>492.03219999999999</v>
      </c>
      <c r="BC286" s="104">
        <f t="shared" si="299"/>
        <v>495.89380000000006</v>
      </c>
      <c r="BD286" s="104">
        <f t="shared" si="299"/>
        <v>497.18100000000004</v>
      </c>
      <c r="BE286" s="104">
        <f t="shared" si="299"/>
        <v>501.84710000000001</v>
      </c>
      <c r="BF286" s="104">
        <f t="shared" si="299"/>
        <v>518.25890000000004</v>
      </c>
      <c r="BG286" s="104">
        <f t="shared" si="299"/>
        <v>530.16550000000007</v>
      </c>
      <c r="BH286" s="104">
        <f t="shared" si="299"/>
        <v>544.16380000000004</v>
      </c>
      <c r="BI286" s="104">
        <f t="shared" si="299"/>
        <v>555.42679999999996</v>
      </c>
      <c r="BJ286" s="104">
        <f t="shared" si="299"/>
        <v>562.34550000000002</v>
      </c>
      <c r="BK286" s="65"/>
    </row>
    <row r="287" spans="1:63">
      <c r="C287" s="132" t="s">
        <v>369</v>
      </c>
      <c r="D287" s="130">
        <v>12.43</v>
      </c>
      <c r="E287" s="130">
        <v>12.43</v>
      </c>
      <c r="F287" s="130">
        <v>12.43</v>
      </c>
      <c r="G287" s="130">
        <v>12.43</v>
      </c>
      <c r="H287" s="130">
        <v>12.43</v>
      </c>
      <c r="I287" s="130">
        <v>12.43</v>
      </c>
      <c r="J287" s="130">
        <v>12.43</v>
      </c>
      <c r="K287" s="130">
        <v>12.43</v>
      </c>
      <c r="L287" s="130">
        <v>12.43</v>
      </c>
      <c r="M287" s="130">
        <v>12.43</v>
      </c>
      <c r="N287" s="117">
        <f>N284/N281</f>
        <v>12.451745849679581</v>
      </c>
      <c r="O287" s="117">
        <f t="shared" ref="O287:BJ289" si="300">O284/O281</f>
        <v>12.548859141922406</v>
      </c>
      <c r="P287" s="117">
        <f t="shared" si="300"/>
        <v>12.447567119449788</v>
      </c>
      <c r="Q287" s="117">
        <f t="shared" si="300"/>
        <v>12.286200896559246</v>
      </c>
      <c r="R287" s="117">
        <f t="shared" si="300"/>
        <v>12.405306428290437</v>
      </c>
      <c r="S287" s="117">
        <f t="shared" si="300"/>
        <v>12.827002209863549</v>
      </c>
      <c r="T287" s="117">
        <f t="shared" si="300"/>
        <v>12.880358197781833</v>
      </c>
      <c r="U287" s="117">
        <f t="shared" si="300"/>
        <v>12.751218404147513</v>
      </c>
      <c r="V287" s="117">
        <f t="shared" si="300"/>
        <v>12.526868482704359</v>
      </c>
      <c r="W287" s="117">
        <f t="shared" si="300"/>
        <v>12.253696759222196</v>
      </c>
      <c r="X287" s="117">
        <f t="shared" si="300"/>
        <v>12.760617787537303</v>
      </c>
      <c r="Y287" s="117">
        <f t="shared" si="300"/>
        <v>13.346934801355475</v>
      </c>
      <c r="Z287" s="117">
        <f t="shared" si="300"/>
        <v>13.365921908769064</v>
      </c>
      <c r="AA287" s="117">
        <f t="shared" si="300"/>
        <v>13.296645785169561</v>
      </c>
      <c r="AB287" s="117">
        <f t="shared" si="300"/>
        <v>13.508829247921494</v>
      </c>
      <c r="AC287" s="117">
        <f t="shared" si="300"/>
        <v>13.701324104342008</v>
      </c>
      <c r="AD287" s="117">
        <f t="shared" si="300"/>
        <v>13.656403450055915</v>
      </c>
      <c r="AE287" s="117">
        <f t="shared" si="300"/>
        <v>14.111193247791055</v>
      </c>
      <c r="AF287" s="117">
        <f t="shared" si="300"/>
        <v>14.32985574202052</v>
      </c>
      <c r="AG287" s="117">
        <f t="shared" si="300"/>
        <v>14.839916257853405</v>
      </c>
      <c r="AH287" s="117">
        <f t="shared" si="300"/>
        <v>14.398774206159599</v>
      </c>
      <c r="AI287" s="117">
        <f t="shared" si="300"/>
        <v>14.407931208428026</v>
      </c>
      <c r="AJ287" s="117">
        <f t="shared" si="300"/>
        <v>14.170133639906862</v>
      </c>
      <c r="AK287" s="117">
        <f t="shared" si="300"/>
        <v>13.964073185428953</v>
      </c>
      <c r="AL287" s="117">
        <f t="shared" si="300"/>
        <v>14.287060021241329</v>
      </c>
      <c r="AM287" s="117">
        <f t="shared" si="300"/>
        <v>14.683028061955682</v>
      </c>
      <c r="AN287" s="117">
        <f t="shared" si="300"/>
        <v>14.424505306964088</v>
      </c>
      <c r="AO287" s="117">
        <f t="shared" si="300"/>
        <v>14.506927190711922</v>
      </c>
      <c r="AP287" s="117">
        <f t="shared" si="300"/>
        <v>14.82801879835546</v>
      </c>
      <c r="AQ287" s="117">
        <f t="shared" si="300"/>
        <v>14.831514791213076</v>
      </c>
      <c r="AR287" s="117">
        <f t="shared" si="300"/>
        <v>14.831642930053723</v>
      </c>
      <c r="AS287" s="117">
        <f t="shared" si="300"/>
        <v>15.036656685522113</v>
      </c>
      <c r="AT287" s="117">
        <f t="shared" si="300"/>
        <v>15.056299616069605</v>
      </c>
      <c r="AU287" s="117">
        <f t="shared" si="300"/>
        <v>15.21831566064621</v>
      </c>
      <c r="AV287" s="117">
        <f t="shared" si="300"/>
        <v>15.239181586306442</v>
      </c>
      <c r="AW287" s="117">
        <f t="shared" si="300"/>
        <v>15.103846057492145</v>
      </c>
      <c r="AX287" s="117">
        <f t="shared" si="300"/>
        <v>15.278788045487588</v>
      </c>
      <c r="AY287" s="117">
        <f t="shared" si="300"/>
        <v>15.190165422663203</v>
      </c>
      <c r="AZ287" s="117">
        <f t="shared" si="300"/>
        <v>15.422695208197366</v>
      </c>
      <c r="BA287" s="117">
        <f t="shared" si="300"/>
        <v>15.808511190360234</v>
      </c>
      <c r="BB287" s="117">
        <f t="shared" si="300"/>
        <v>16.025130477234399</v>
      </c>
      <c r="BC287" s="117">
        <f t="shared" si="300"/>
        <v>16.273677815672887</v>
      </c>
      <c r="BD287" s="117">
        <f t="shared" si="300"/>
        <v>16.338749490991191</v>
      </c>
      <c r="BE287" s="117">
        <f t="shared" si="300"/>
        <v>16.625613033210069</v>
      </c>
      <c r="BF287" s="117">
        <f t="shared" si="300"/>
        <v>16.984236842291548</v>
      </c>
      <c r="BG287" s="117">
        <f t="shared" si="300"/>
        <v>17.103047204212807</v>
      </c>
      <c r="BH287" s="117">
        <f t="shared" si="300"/>
        <v>17.212588242502907</v>
      </c>
      <c r="BI287" s="117">
        <f t="shared" si="300"/>
        <v>17.542712319187572</v>
      </c>
      <c r="BJ287" s="117">
        <f t="shared" si="300"/>
        <v>18.075876648008542</v>
      </c>
    </row>
    <row r="288" spans="1:63">
      <c r="C288" s="132" t="s">
        <v>370</v>
      </c>
      <c r="D288" s="130">
        <v>5.4</v>
      </c>
      <c r="E288" s="130">
        <v>5.4</v>
      </c>
      <c r="F288" s="130">
        <v>5.4</v>
      </c>
      <c r="G288" s="130">
        <v>5.4</v>
      </c>
      <c r="H288" s="130">
        <v>5.4</v>
      </c>
      <c r="I288" s="130">
        <v>5.4</v>
      </c>
      <c r="J288" s="130">
        <v>5.4</v>
      </c>
      <c r="K288" s="130">
        <v>5.4</v>
      </c>
      <c r="L288" s="130">
        <v>5.4</v>
      </c>
      <c r="M288" s="130">
        <v>5.4</v>
      </c>
      <c r="N288" s="117">
        <f>N285/N282</f>
        <v>5.3834073905909117</v>
      </c>
      <c r="O288" s="117">
        <f t="shared" si="300"/>
        <v>5.4026571843031146</v>
      </c>
      <c r="P288" s="117">
        <f t="shared" si="300"/>
        <v>5.4715931698512001</v>
      </c>
      <c r="Q288" s="117">
        <f t="shared" si="300"/>
        <v>5.3588822619579028</v>
      </c>
      <c r="R288" s="117">
        <f t="shared" si="300"/>
        <v>5.368890940158507</v>
      </c>
      <c r="S288" s="117">
        <f t="shared" si="300"/>
        <v>5.378389369391587</v>
      </c>
      <c r="T288" s="117">
        <f t="shared" si="300"/>
        <v>5.4017527885158394</v>
      </c>
      <c r="U288" s="117">
        <f t="shared" si="300"/>
        <v>5.2744926236103256</v>
      </c>
      <c r="V288" s="117">
        <f t="shared" si="300"/>
        <v>5.3003587705600195</v>
      </c>
      <c r="W288" s="117">
        <f t="shared" si="300"/>
        <v>5.1654703581971164</v>
      </c>
      <c r="X288" s="117">
        <f t="shared" si="300"/>
        <v>5.4361560909673505</v>
      </c>
      <c r="Y288" s="117">
        <f t="shared" si="300"/>
        <v>5.6435266895152862</v>
      </c>
      <c r="Z288" s="117">
        <f t="shared" si="300"/>
        <v>5.4583927607214742</v>
      </c>
      <c r="AA288" s="117">
        <f t="shared" si="300"/>
        <v>5.2168527429611693</v>
      </c>
      <c r="AB288" s="117">
        <f t="shared" si="300"/>
        <v>5.0536729100420876</v>
      </c>
      <c r="AC288" s="117">
        <f t="shared" si="300"/>
        <v>4.9060187873271026</v>
      </c>
      <c r="AD288" s="117">
        <f t="shared" si="300"/>
        <v>4.6389827304455142</v>
      </c>
      <c r="AE288" s="117">
        <f t="shared" si="300"/>
        <v>4.973543852389211</v>
      </c>
      <c r="AF288" s="117">
        <f t="shared" si="300"/>
        <v>5.0999067974988987</v>
      </c>
      <c r="AG288" s="117">
        <f t="shared" si="300"/>
        <v>5.6933886144676125</v>
      </c>
      <c r="AH288" s="117">
        <f t="shared" si="300"/>
        <v>6.2587961344275902</v>
      </c>
      <c r="AI288" s="117">
        <f t="shared" si="300"/>
        <v>6.6619762557892486</v>
      </c>
      <c r="AJ288" s="117">
        <f t="shared" si="300"/>
        <v>6.9335862739772187</v>
      </c>
      <c r="AK288" s="117">
        <f t="shared" si="300"/>
        <v>7.3144015472989858</v>
      </c>
      <c r="AL288" s="117">
        <f t="shared" si="300"/>
        <v>7.8631421823110399</v>
      </c>
      <c r="AM288" s="117">
        <f t="shared" si="300"/>
        <v>8.4876936459002934</v>
      </c>
      <c r="AN288" s="117">
        <f t="shared" si="300"/>
        <v>8.675966024556935</v>
      </c>
      <c r="AO288" s="117">
        <f t="shared" si="300"/>
        <v>8.9983962805616127</v>
      </c>
      <c r="AP288" s="117">
        <f t="shared" si="300"/>
        <v>9.3828138954197158</v>
      </c>
      <c r="AQ288" s="117">
        <f t="shared" si="300"/>
        <v>9.7675728856649808</v>
      </c>
      <c r="AR288" s="117">
        <f t="shared" si="300"/>
        <v>10.002380534247052</v>
      </c>
      <c r="AS288" s="117">
        <f t="shared" si="300"/>
        <v>10.322577527074797</v>
      </c>
      <c r="AT288" s="117">
        <f t="shared" si="300"/>
        <v>10.554127658877452</v>
      </c>
      <c r="AU288" s="117">
        <f t="shared" si="300"/>
        <v>10.838513175136125</v>
      </c>
      <c r="AV288" s="117">
        <f t="shared" si="300"/>
        <v>11.141435567552984</v>
      </c>
      <c r="AW288" s="117">
        <f t="shared" si="300"/>
        <v>11.264812127449924</v>
      </c>
      <c r="AX288" s="117">
        <f t="shared" si="300"/>
        <v>11.613653471376685</v>
      </c>
      <c r="AY288" s="117">
        <f t="shared" si="300"/>
        <v>11.787798475395308</v>
      </c>
      <c r="AZ288" s="117">
        <f t="shared" si="300"/>
        <v>12.459584812683705</v>
      </c>
      <c r="BA288" s="117">
        <f t="shared" si="300"/>
        <v>12.866367062084912</v>
      </c>
      <c r="BB288" s="117">
        <f t="shared" si="300"/>
        <v>12.951958517477568</v>
      </c>
      <c r="BC288" s="117">
        <f t="shared" si="300"/>
        <v>13.375540722893803</v>
      </c>
      <c r="BD288" s="117">
        <f t="shared" si="300"/>
        <v>13.537804148454818</v>
      </c>
      <c r="BE288" s="117">
        <f t="shared" si="300"/>
        <v>13.851927111005045</v>
      </c>
      <c r="BF288" s="117">
        <f t="shared" si="300"/>
        <v>14.147280527598047</v>
      </c>
      <c r="BG288" s="117">
        <f t="shared" si="300"/>
        <v>14.202961714734107</v>
      </c>
      <c r="BH288" s="117">
        <f t="shared" si="300"/>
        <v>14.271112935806935</v>
      </c>
      <c r="BI288" s="117">
        <f t="shared" si="300"/>
        <v>14.564034328486807</v>
      </c>
      <c r="BJ288" s="117">
        <f t="shared" si="300"/>
        <v>14.929461478653817</v>
      </c>
    </row>
    <row r="289" spans="3:63" s="51" customFormat="1">
      <c r="C289" s="133" t="s">
        <v>371</v>
      </c>
      <c r="D289" s="119">
        <f t="shared" ref="D289:M289" si="301">D286/D283</f>
        <v>10.373089661448056</v>
      </c>
      <c r="E289" s="119">
        <f t="shared" si="301"/>
        <v>10.530465143439594</v>
      </c>
      <c r="F289" s="119">
        <f t="shared" si="301"/>
        <v>10.448068101527678</v>
      </c>
      <c r="G289" s="119">
        <f t="shared" si="301"/>
        <v>10.424211114401873</v>
      </c>
      <c r="H289" s="119">
        <f t="shared" si="301"/>
        <v>10.545845323569226</v>
      </c>
      <c r="I289" s="119">
        <f t="shared" si="301"/>
        <v>10.535001198116692</v>
      </c>
      <c r="J289" s="119">
        <f t="shared" si="301"/>
        <v>10.622751626500612</v>
      </c>
      <c r="K289" s="119">
        <f t="shared" si="301"/>
        <v>10.377434737859678</v>
      </c>
      <c r="L289" s="119">
        <f t="shared" si="301"/>
        <v>10.191752341092819</v>
      </c>
      <c r="M289" s="119">
        <f t="shared" si="301"/>
        <v>10.093296170336981</v>
      </c>
      <c r="N289" s="119">
        <f>N286/N283</f>
        <v>10.646555957211657</v>
      </c>
      <c r="O289" s="119">
        <f t="shared" si="300"/>
        <v>10.749996490742229</v>
      </c>
      <c r="P289" s="119">
        <f t="shared" si="300"/>
        <v>10.754684335053883</v>
      </c>
      <c r="Q289" s="119">
        <f t="shared" si="300"/>
        <v>10.591255873051345</v>
      </c>
      <c r="R289" s="119">
        <f t="shared" si="300"/>
        <v>10.682331071780657</v>
      </c>
      <c r="S289" s="119">
        <f t="shared" si="300"/>
        <v>10.996454408768036</v>
      </c>
      <c r="T289" s="119">
        <f t="shared" si="300"/>
        <v>11.060159098288768</v>
      </c>
      <c r="U289" s="119">
        <f t="shared" si="300"/>
        <v>10.939965249083162</v>
      </c>
      <c r="V289" s="119">
        <f t="shared" si="300"/>
        <v>10.813338730612573</v>
      </c>
      <c r="W289" s="119">
        <f t="shared" si="300"/>
        <v>10.555718624942001</v>
      </c>
      <c r="X289" s="119">
        <f t="shared" si="300"/>
        <v>11.081563609230679</v>
      </c>
      <c r="Y289" s="119">
        <f t="shared" si="300"/>
        <v>11.622871929943503</v>
      </c>
      <c r="Z289" s="119">
        <f t="shared" si="300"/>
        <v>11.58895968649793</v>
      </c>
      <c r="AA289" s="119">
        <f t="shared" si="300"/>
        <v>11.392965325029968</v>
      </c>
      <c r="AB289" s="119">
        <f t="shared" si="300"/>
        <v>11.428451631305332</v>
      </c>
      <c r="AC289" s="119">
        <f t="shared" si="300"/>
        <v>11.466576363713227</v>
      </c>
      <c r="AD289" s="119">
        <f t="shared" si="300"/>
        <v>11.273425068544974</v>
      </c>
      <c r="AE289" s="119">
        <f t="shared" si="300"/>
        <v>11.621025006936414</v>
      </c>
      <c r="AF289" s="119">
        <f t="shared" si="300"/>
        <v>11.712168170390619</v>
      </c>
      <c r="AG289" s="119">
        <f t="shared" si="300"/>
        <v>12.153311009201103</v>
      </c>
      <c r="AH289" s="119">
        <f t="shared" si="300"/>
        <v>11.945594932031982</v>
      </c>
      <c r="AI289" s="119">
        <f t="shared" si="300"/>
        <v>12.04561405479712</v>
      </c>
      <c r="AJ289" s="119">
        <f t="shared" si="300"/>
        <v>11.901191528274053</v>
      </c>
      <c r="AK289" s="119">
        <f t="shared" si="300"/>
        <v>11.775182431088998</v>
      </c>
      <c r="AL289" s="119">
        <f t="shared" si="300"/>
        <v>11.982289611158986</v>
      </c>
      <c r="AM289" s="119">
        <f t="shared" si="300"/>
        <v>12.341858719191578</v>
      </c>
      <c r="AN289" s="119">
        <f t="shared" si="300"/>
        <v>12.189877438078195</v>
      </c>
      <c r="AO289" s="119">
        <f t="shared" si="300"/>
        <v>12.300266118768601</v>
      </c>
      <c r="AP289" s="119">
        <f t="shared" si="300"/>
        <v>12.607656813133389</v>
      </c>
      <c r="AQ289" s="119">
        <f t="shared" si="300"/>
        <v>12.733388382913374</v>
      </c>
      <c r="AR289" s="119">
        <f t="shared" si="300"/>
        <v>12.80008146856874</v>
      </c>
      <c r="AS289" s="119">
        <f t="shared" si="300"/>
        <v>12.996240935826643</v>
      </c>
      <c r="AT289" s="119">
        <f t="shared" si="300"/>
        <v>13.041029858003254</v>
      </c>
      <c r="AU289" s="119">
        <f t="shared" si="300"/>
        <v>13.159233150074414</v>
      </c>
      <c r="AV289" s="119">
        <f t="shared" si="300"/>
        <v>13.244040437950193</v>
      </c>
      <c r="AW289" s="119">
        <f t="shared" si="300"/>
        <v>13.157792472455217</v>
      </c>
      <c r="AX289" s="119">
        <f t="shared" si="300"/>
        <v>13.345538184682393</v>
      </c>
      <c r="AY289" s="119">
        <f t="shared" si="300"/>
        <v>13.335781994067251</v>
      </c>
      <c r="AZ289" s="119">
        <f t="shared" si="300"/>
        <v>13.779805212531663</v>
      </c>
      <c r="BA289" s="119">
        <f t="shared" si="300"/>
        <v>14.148314374448239</v>
      </c>
      <c r="BB289" s="119">
        <f t="shared" si="300"/>
        <v>14.215981277848892</v>
      </c>
      <c r="BC289" s="119">
        <f t="shared" si="300"/>
        <v>14.523514819628412</v>
      </c>
      <c r="BD289" s="119">
        <f t="shared" si="300"/>
        <v>14.596568284910235</v>
      </c>
      <c r="BE289" s="119">
        <f t="shared" si="300"/>
        <v>14.85477420758742</v>
      </c>
      <c r="BF289" s="119">
        <f t="shared" si="300"/>
        <v>15.137154451754311</v>
      </c>
      <c r="BG289" s="119">
        <f t="shared" si="300"/>
        <v>15.172671996330328</v>
      </c>
      <c r="BH289" s="119">
        <f t="shared" si="300"/>
        <v>15.219959001735525</v>
      </c>
      <c r="BI289" s="119">
        <f t="shared" si="300"/>
        <v>15.508691060388427</v>
      </c>
      <c r="BJ289" s="119">
        <f t="shared" si="300"/>
        <v>15.922395520880327</v>
      </c>
      <c r="BK289" s="65"/>
    </row>
    <row r="291" spans="3:63" s="51" customFormat="1">
      <c r="D291" s="51">
        <v>1960</v>
      </c>
      <c r="E291" s="51">
        <v>1961</v>
      </c>
      <c r="F291" s="51">
        <v>1962</v>
      </c>
      <c r="G291" s="51">
        <v>1963</v>
      </c>
      <c r="H291" s="51">
        <v>1964</v>
      </c>
      <c r="I291" s="51">
        <v>1965</v>
      </c>
      <c r="J291" s="51">
        <v>1966</v>
      </c>
      <c r="K291" s="51">
        <v>1967</v>
      </c>
      <c r="L291" s="51">
        <v>1968</v>
      </c>
      <c r="M291" s="51">
        <v>1969</v>
      </c>
      <c r="N291" s="51">
        <v>1970</v>
      </c>
      <c r="O291" s="51">
        <v>1971</v>
      </c>
      <c r="P291" s="51">
        <v>1972</v>
      </c>
      <c r="Q291" s="51">
        <v>1973</v>
      </c>
      <c r="R291" s="51">
        <v>1974</v>
      </c>
      <c r="S291" s="51">
        <v>1975</v>
      </c>
      <c r="T291" s="51">
        <v>1976</v>
      </c>
      <c r="U291" s="51">
        <v>1977</v>
      </c>
      <c r="V291" s="51">
        <v>1978</v>
      </c>
      <c r="W291" s="51">
        <v>1979</v>
      </c>
      <c r="X291" s="51">
        <v>1980</v>
      </c>
      <c r="Y291" s="51">
        <v>1981</v>
      </c>
      <c r="Z291" s="51">
        <v>1982</v>
      </c>
      <c r="AA291" s="51">
        <v>1983</v>
      </c>
      <c r="AB291" s="51">
        <v>1984</v>
      </c>
      <c r="AC291" s="51">
        <v>1985</v>
      </c>
      <c r="AD291" s="51">
        <v>1986</v>
      </c>
      <c r="AE291" s="51">
        <v>1987</v>
      </c>
      <c r="AF291" s="51">
        <v>1988</v>
      </c>
      <c r="AG291" s="51">
        <v>1989</v>
      </c>
      <c r="AH291" s="51">
        <v>1990</v>
      </c>
      <c r="AI291" s="51">
        <v>1991</v>
      </c>
      <c r="AJ291" s="51">
        <v>1992</v>
      </c>
      <c r="AK291" s="51">
        <v>1993</v>
      </c>
      <c r="AL291" s="51">
        <v>1994</v>
      </c>
      <c r="AM291" s="51">
        <v>1995</v>
      </c>
      <c r="AN291" s="51">
        <v>1996</v>
      </c>
      <c r="AO291" s="51">
        <v>1997</v>
      </c>
      <c r="AP291" s="51">
        <v>1998</v>
      </c>
      <c r="AQ291" s="51">
        <v>1999</v>
      </c>
      <c r="AR291" s="51">
        <v>2000</v>
      </c>
      <c r="AS291" s="51">
        <v>2001</v>
      </c>
      <c r="AT291" s="51">
        <v>2002</v>
      </c>
      <c r="AU291" s="51">
        <v>2003</v>
      </c>
      <c r="AV291" s="51">
        <v>2004</v>
      </c>
      <c r="AW291" s="51">
        <v>2005</v>
      </c>
      <c r="AX291" s="51">
        <v>2006</v>
      </c>
      <c r="AY291" s="51">
        <v>2007</v>
      </c>
      <c r="AZ291" s="51">
        <v>2008</v>
      </c>
      <c r="BA291" s="51">
        <v>2009</v>
      </c>
      <c r="BB291" s="51">
        <v>2010</v>
      </c>
      <c r="BC291" s="51">
        <v>2011</v>
      </c>
      <c r="BD291" s="51">
        <v>2012</v>
      </c>
      <c r="BE291" s="51">
        <v>2013</v>
      </c>
      <c r="BF291" s="51">
        <v>2014</v>
      </c>
      <c r="BG291" s="51">
        <v>2015</v>
      </c>
      <c r="BH291" s="51">
        <v>2016</v>
      </c>
      <c r="BI291" s="51">
        <v>2017</v>
      </c>
      <c r="BJ291" s="51">
        <v>2018</v>
      </c>
      <c r="BK291" s="65"/>
    </row>
    <row r="292" spans="3:63" s="51" customFormat="1">
      <c r="C292" s="51" t="s">
        <v>372</v>
      </c>
      <c r="D292" s="115">
        <f>8*LOG(D299*0.83)</f>
        <v>11.079046731864642</v>
      </c>
      <c r="E292" s="115">
        <f t="shared" ref="E292:BJ292" si="302">8*LOG(E299*0.83)</f>
        <v>11.079046731864642</v>
      </c>
      <c r="F292" s="115">
        <f t="shared" si="302"/>
        <v>11.079046731864642</v>
      </c>
      <c r="G292" s="115">
        <f t="shared" si="302"/>
        <v>11.079046731864644</v>
      </c>
      <c r="H292" s="115">
        <f t="shared" si="302"/>
        <v>11.079046731864642</v>
      </c>
      <c r="I292" s="115">
        <f t="shared" si="302"/>
        <v>11.079046731864644</v>
      </c>
      <c r="J292" s="115">
        <f t="shared" si="302"/>
        <v>11.079046731864642</v>
      </c>
      <c r="K292" s="115">
        <f t="shared" si="302"/>
        <v>11.079046731864644</v>
      </c>
      <c r="L292" s="115">
        <f t="shared" si="302"/>
        <v>11.079046731864644</v>
      </c>
      <c r="M292" s="115">
        <f t="shared" si="302"/>
        <v>11.079046731864642</v>
      </c>
      <c r="N292" s="115">
        <f t="shared" si="302"/>
        <v>11.085119685093392</v>
      </c>
      <c r="O292" s="115">
        <f t="shared" si="302"/>
        <v>11.112111658501801</v>
      </c>
      <c r="P292" s="115">
        <f t="shared" si="302"/>
        <v>11.083953516693839</v>
      </c>
      <c r="Q292" s="115">
        <f t="shared" si="302"/>
        <v>11.038618601639264</v>
      </c>
      <c r="R292" s="115">
        <f t="shared" si="302"/>
        <v>11.072137674070175</v>
      </c>
      <c r="S292" s="115">
        <f t="shared" si="302"/>
        <v>11.188279059209837</v>
      </c>
      <c r="T292" s="115">
        <f t="shared" si="302"/>
        <v>11.202701228758466</v>
      </c>
      <c r="U292" s="115">
        <f t="shared" si="302"/>
        <v>11.167691178329209</v>
      </c>
      <c r="V292" s="115">
        <f t="shared" si="302"/>
        <v>11.106017845684489</v>
      </c>
      <c r="W292" s="115">
        <f t="shared" si="302"/>
        <v>11.02941473229126</v>
      </c>
      <c r="X292" s="115">
        <f t="shared" si="302"/>
        <v>11.170251307984174</v>
      </c>
      <c r="Y292" s="115">
        <f t="shared" si="302"/>
        <v>11.326330014580908</v>
      </c>
      <c r="Z292" s="115">
        <f t="shared" si="302"/>
        <v>11.331269057951777</v>
      </c>
      <c r="AA292" s="115">
        <f t="shared" si="302"/>
        <v>11.313214499212588</v>
      </c>
      <c r="AB292" s="115">
        <f t="shared" si="302"/>
        <v>11.368219400489151</v>
      </c>
      <c r="AC292" s="115">
        <f t="shared" si="302"/>
        <v>11.417378020082975</v>
      </c>
      <c r="AD292" s="115">
        <f t="shared" si="302"/>
        <v>11.405968411723617</v>
      </c>
      <c r="AE292" s="115">
        <f t="shared" si="302"/>
        <v>11.519787618022173</v>
      </c>
      <c r="AF292" s="115">
        <f t="shared" si="302"/>
        <v>11.573212249910346</v>
      </c>
      <c r="AG292" s="115">
        <f t="shared" si="302"/>
        <v>11.694729304423914</v>
      </c>
      <c r="AH292" s="115">
        <f t="shared" si="302"/>
        <v>11.589881873848821</v>
      </c>
      <c r="AI292" s="115">
        <f t="shared" si="302"/>
        <v>11.592090712732777</v>
      </c>
      <c r="AJ292" s="115">
        <f t="shared" si="302"/>
        <v>11.534269271853256</v>
      </c>
      <c r="AK292" s="115">
        <f t="shared" si="302"/>
        <v>11.483374632946047</v>
      </c>
      <c r="AL292" s="115">
        <f t="shared" si="302"/>
        <v>11.562820656690377</v>
      </c>
      <c r="AM292" s="115">
        <f t="shared" si="302"/>
        <v>11.657802733195458</v>
      </c>
      <c r="AN292" s="115">
        <f t="shared" si="302"/>
        <v>11.596085125248411</v>
      </c>
      <c r="AO292" s="115">
        <f t="shared" si="302"/>
        <v>11.615881153608756</v>
      </c>
      <c r="AP292" s="115">
        <f t="shared" si="302"/>
        <v>11.691942726240665</v>
      </c>
      <c r="AQ292" s="115">
        <f t="shared" si="302"/>
        <v>11.692761776430666</v>
      </c>
      <c r="AR292" s="115">
        <f t="shared" si="302"/>
        <v>11.692791793459566</v>
      </c>
      <c r="AS292" s="115">
        <f t="shared" si="302"/>
        <v>11.740487975522692</v>
      </c>
      <c r="AT292" s="115">
        <f t="shared" si="302"/>
        <v>11.745023690775799</v>
      </c>
      <c r="AU292" s="115">
        <f t="shared" si="302"/>
        <v>11.782210407219161</v>
      </c>
      <c r="AV292" s="115">
        <f t="shared" si="302"/>
        <v>11.786970854983219</v>
      </c>
      <c r="AW292" s="115">
        <f t="shared" si="302"/>
        <v>11.755978106963859</v>
      </c>
      <c r="AX292" s="115">
        <f t="shared" si="302"/>
        <v>11.795988952338872</v>
      </c>
      <c r="AY292" s="115">
        <f t="shared" si="302"/>
        <v>11.775777729978016</v>
      </c>
      <c r="AZ292" s="115">
        <f t="shared" si="302"/>
        <v>11.828559909968279</v>
      </c>
      <c r="BA292" s="115">
        <f t="shared" si="302"/>
        <v>11.914405470661261</v>
      </c>
      <c r="BB292" s="115">
        <f t="shared" si="302"/>
        <v>11.961690296713726</v>
      </c>
      <c r="BC292" s="115">
        <f t="shared" si="302"/>
        <v>12.015163411807432</v>
      </c>
      <c r="BD292" s="115">
        <f t="shared" si="302"/>
        <v>12.029028215801013</v>
      </c>
      <c r="BE292" s="115">
        <f t="shared" si="302"/>
        <v>12.089499046187044</v>
      </c>
      <c r="BF292" s="115">
        <f t="shared" si="302"/>
        <v>12.163646001633799</v>
      </c>
      <c r="BG292" s="115">
        <f t="shared" si="302"/>
        <v>12.187865657717117</v>
      </c>
      <c r="BH292" s="115">
        <f t="shared" si="302"/>
        <v>12.210047140620143</v>
      </c>
      <c r="BI292" s="115">
        <f t="shared" si="302"/>
        <v>12.276051634670273</v>
      </c>
      <c r="BJ292" s="115">
        <f t="shared" si="302"/>
        <v>12.380072654656706</v>
      </c>
      <c r="BK292" s="65"/>
    </row>
    <row r="293" spans="3:63" s="51" customFormat="1">
      <c r="C293" s="51" t="s">
        <v>373</v>
      </c>
      <c r="D293" s="115">
        <f>7.5*LOG(D299)</f>
        <v>10.993520618302549</v>
      </c>
      <c r="E293" s="115">
        <f t="shared" ref="E293:BJ293" si="303">7.5*LOG(E299)</f>
        <v>10.993520618302549</v>
      </c>
      <c r="F293" s="115">
        <f t="shared" si="303"/>
        <v>10.993520618302549</v>
      </c>
      <c r="G293" s="115">
        <f t="shared" si="303"/>
        <v>10.993520618302549</v>
      </c>
      <c r="H293" s="115">
        <f t="shared" si="303"/>
        <v>10.993520618302549</v>
      </c>
      <c r="I293" s="115">
        <f t="shared" si="303"/>
        <v>10.993520618302549</v>
      </c>
      <c r="J293" s="115">
        <f t="shared" si="303"/>
        <v>10.993520618302547</v>
      </c>
      <c r="K293" s="115">
        <f t="shared" si="303"/>
        <v>10.993520618302549</v>
      </c>
      <c r="L293" s="115">
        <f t="shared" si="303"/>
        <v>10.993520618302549</v>
      </c>
      <c r="M293" s="115">
        <f t="shared" si="303"/>
        <v>10.993520618302549</v>
      </c>
      <c r="N293" s="115">
        <f t="shared" si="303"/>
        <v>10.999214011954502</v>
      </c>
      <c r="O293" s="115">
        <f t="shared" si="303"/>
        <v>11.024518987024884</v>
      </c>
      <c r="P293" s="115">
        <f t="shared" si="303"/>
        <v>10.998120729079922</v>
      </c>
      <c r="Q293" s="115">
        <f t="shared" si="303"/>
        <v>10.955619246216255</v>
      </c>
      <c r="R293" s="115">
        <f t="shared" si="303"/>
        <v>10.987043376620237</v>
      </c>
      <c r="S293" s="115">
        <f t="shared" si="303"/>
        <v>11.095925925188666</v>
      </c>
      <c r="T293" s="115">
        <f t="shared" si="303"/>
        <v>11.109446709140508</v>
      </c>
      <c r="U293" s="115">
        <f t="shared" si="303"/>
        <v>11.076624786863078</v>
      </c>
      <c r="V293" s="115">
        <f t="shared" si="303"/>
        <v>11.018806037508654</v>
      </c>
      <c r="W293" s="115">
        <f t="shared" si="303"/>
        <v>10.9469906187025</v>
      </c>
      <c r="X293" s="115">
        <f t="shared" si="303"/>
        <v>11.079024908414608</v>
      </c>
      <c r="Y293" s="115">
        <f t="shared" si="303"/>
        <v>11.225348695849046</v>
      </c>
      <c r="Z293" s="115">
        <f t="shared" si="303"/>
        <v>11.229979049009236</v>
      </c>
      <c r="AA293" s="115">
        <f t="shared" si="303"/>
        <v>11.213052900191249</v>
      </c>
      <c r="AB293" s="115">
        <f t="shared" si="303"/>
        <v>11.264619995138027</v>
      </c>
      <c r="AC293" s="115">
        <f t="shared" si="303"/>
        <v>11.310706201007234</v>
      </c>
      <c r="AD293" s="115">
        <f t="shared" si="303"/>
        <v>11.300009693170336</v>
      </c>
      <c r="AE293" s="115">
        <f t="shared" si="303"/>
        <v>11.406715199075233</v>
      </c>
      <c r="AF293" s="115">
        <f t="shared" si="303"/>
        <v>11.456800791470396</v>
      </c>
      <c r="AG293" s="115">
        <f t="shared" si="303"/>
        <v>11.570723030076866</v>
      </c>
      <c r="AH293" s="115">
        <f t="shared" si="303"/>
        <v>11.472428563912715</v>
      </c>
      <c r="AI293" s="115">
        <f t="shared" si="303"/>
        <v>11.474499350366425</v>
      </c>
      <c r="AJ293" s="115">
        <f t="shared" si="303"/>
        <v>11.420291749541873</v>
      </c>
      <c r="AK293" s="115">
        <f t="shared" si="303"/>
        <v>11.372578025566364</v>
      </c>
      <c r="AL293" s="115">
        <f t="shared" si="303"/>
        <v>11.447058672826675</v>
      </c>
      <c r="AM293" s="115">
        <f t="shared" si="303"/>
        <v>11.536104369550189</v>
      </c>
      <c r="AN293" s="115">
        <f t="shared" si="303"/>
        <v>11.47824411209983</v>
      </c>
      <c r="AO293" s="115">
        <f t="shared" si="303"/>
        <v>11.496802888687654</v>
      </c>
      <c r="AP293" s="115">
        <f t="shared" si="303"/>
        <v>11.56811061303007</v>
      </c>
      <c r="AQ293" s="115">
        <f t="shared" si="303"/>
        <v>11.568878472583195</v>
      </c>
      <c r="AR293" s="115">
        <f t="shared" si="303"/>
        <v>11.568906613547789</v>
      </c>
      <c r="AS293" s="115">
        <f t="shared" si="303"/>
        <v>11.613621784231968</v>
      </c>
      <c r="AT293" s="115">
        <f t="shared" si="303"/>
        <v>11.617874017281757</v>
      </c>
      <c r="AU293" s="115">
        <f t="shared" si="303"/>
        <v>11.652736563947409</v>
      </c>
      <c r="AV293" s="115">
        <f t="shared" si="303"/>
        <v>11.657199483726215</v>
      </c>
      <c r="AW293" s="115">
        <f t="shared" si="303"/>
        <v>11.628143782458062</v>
      </c>
      <c r="AX293" s="115">
        <f t="shared" si="303"/>
        <v>11.665653949997138</v>
      </c>
      <c r="AY293" s="115">
        <f t="shared" si="303"/>
        <v>11.646705929033836</v>
      </c>
      <c r="AZ293" s="115">
        <f t="shared" si="303"/>
        <v>11.696189222774706</v>
      </c>
      <c r="BA293" s="115">
        <f t="shared" si="303"/>
        <v>11.776669435924379</v>
      </c>
      <c r="BB293" s="115">
        <f t="shared" si="303"/>
        <v>11.820998960348565</v>
      </c>
      <c r="BC293" s="115">
        <f t="shared" si="303"/>
        <v>11.871130005748913</v>
      </c>
      <c r="BD293" s="115">
        <f t="shared" si="303"/>
        <v>11.884128259492895</v>
      </c>
      <c r="BE293" s="115">
        <f t="shared" si="303"/>
        <v>11.940819662979798</v>
      </c>
      <c r="BF293" s="115">
        <f t="shared" si="303"/>
        <v>12.010332433711133</v>
      </c>
      <c r="BG293" s="115">
        <f t="shared" si="303"/>
        <v>12.033038361289242</v>
      </c>
      <c r="BH293" s="115">
        <f t="shared" si="303"/>
        <v>12.05383350151083</v>
      </c>
      <c r="BI293" s="115">
        <f t="shared" si="303"/>
        <v>12.115712714682827</v>
      </c>
      <c r="BJ293" s="115">
        <f t="shared" si="303"/>
        <v>12.213232420920109</v>
      </c>
      <c r="BK293" s="65"/>
    </row>
    <row r="294" spans="3:63" s="51" customFormat="1">
      <c r="C294" s="51" t="s">
        <v>374</v>
      </c>
      <c r="D294" s="115">
        <f>10*LOG(D300*0.83)</f>
        <v>10.678030032433497</v>
      </c>
      <c r="E294" s="115">
        <f t="shared" ref="E294:BJ294" si="304">10*LOG(E300*0.83)</f>
        <v>10.678030032433497</v>
      </c>
      <c r="F294" s="115">
        <f t="shared" si="304"/>
        <v>10.678030032433497</v>
      </c>
      <c r="G294" s="115">
        <f t="shared" si="304"/>
        <v>10.678030032433497</v>
      </c>
      <c r="H294" s="115">
        <f t="shared" si="304"/>
        <v>10.678030032433497</v>
      </c>
      <c r="I294" s="115">
        <f t="shared" si="304"/>
        <v>10.678030032433497</v>
      </c>
      <c r="J294" s="115">
        <f t="shared" si="304"/>
        <v>10.678030032433497</v>
      </c>
      <c r="K294" s="115">
        <f t="shared" si="304"/>
        <v>10.678030032433497</v>
      </c>
      <c r="L294" s="115">
        <f t="shared" si="304"/>
        <v>10.678030032433497</v>
      </c>
      <c r="M294" s="115">
        <f t="shared" si="304"/>
        <v>10.678030032433494</v>
      </c>
      <c r="N294" s="115">
        <f t="shared" si="304"/>
        <v>10.664664898143579</v>
      </c>
      <c r="O294" s="115">
        <f t="shared" si="304"/>
        <v>10.680166544744917</v>
      </c>
      <c r="P294" s="115">
        <f t="shared" si="304"/>
        <v>10.735230421731863</v>
      </c>
      <c r="Q294" s="115">
        <f t="shared" si="304"/>
        <v>10.644834588435971</v>
      </c>
      <c r="R294" s="115">
        <f t="shared" si="304"/>
        <v>10.652938255232325</v>
      </c>
      <c r="S294" s="115">
        <f t="shared" si="304"/>
        <v>10.660614832669413</v>
      </c>
      <c r="T294" s="115">
        <f t="shared" si="304"/>
        <v>10.679439482181065</v>
      </c>
      <c r="U294" s="115">
        <f t="shared" si="304"/>
        <v>10.575899327239135</v>
      </c>
      <c r="V294" s="115">
        <f t="shared" si="304"/>
        <v>10.59714510530805</v>
      </c>
      <c r="W294" s="115">
        <f t="shared" si="304"/>
        <v>10.485191171305871</v>
      </c>
      <c r="X294" s="115">
        <f t="shared" si="304"/>
        <v>10.707011617664431</v>
      </c>
      <c r="Y294" s="115">
        <f t="shared" si="304"/>
        <v>10.869598266828342</v>
      </c>
      <c r="Z294" s="115">
        <f t="shared" si="304"/>
        <v>10.724740257027833</v>
      </c>
      <c r="AA294" s="115">
        <f t="shared" si="304"/>
        <v>10.528178214074709</v>
      </c>
      <c r="AB294" s="115">
        <f t="shared" si="304"/>
        <v>10.390163729787956</v>
      </c>
      <c r="AC294" s="115">
        <f t="shared" si="304"/>
        <v>10.261384504005866</v>
      </c>
      <c r="AD294" s="115">
        <f t="shared" si="304"/>
        <v>10.018319991928205</v>
      </c>
      <c r="AE294" s="115">
        <f t="shared" si="304"/>
        <v>10.32075194946481</v>
      </c>
      <c r="AF294" s="115">
        <f t="shared" si="304"/>
        <v>10.429714827140442</v>
      </c>
      <c r="AG294" s="115">
        <f t="shared" si="304"/>
        <v>10.907800719462717</v>
      </c>
      <c r="AH294" s="115">
        <f t="shared" si="304"/>
        <v>11.319000490821473</v>
      </c>
      <c r="AI294" s="115">
        <f t="shared" si="304"/>
        <v>11.590123238923082</v>
      </c>
      <c r="AJ294" s="115">
        <f t="shared" si="304"/>
        <v>11.763671672291764</v>
      </c>
      <c r="AK294" s="115">
        <f t="shared" si="304"/>
        <v>11.995880420515075</v>
      </c>
      <c r="AL294" s="115">
        <f t="shared" si="304"/>
        <v>12.310053721242669</v>
      </c>
      <c r="AM294" s="115">
        <f t="shared" si="304"/>
        <v>12.641989392080937</v>
      </c>
      <c r="AN294" s="115">
        <f t="shared" si="304"/>
        <v>12.737270860506493</v>
      </c>
      <c r="AO294" s="115">
        <f t="shared" si="304"/>
        <v>12.895743585748376</v>
      </c>
      <c r="AP294" s="115">
        <f t="shared" si="304"/>
        <v>13.077423457640522</v>
      </c>
      <c r="AQ294" s="115">
        <f t="shared" si="304"/>
        <v>13.251959040363237</v>
      </c>
      <c r="AR294" s="115">
        <f t="shared" si="304"/>
        <v>13.355126164054703</v>
      </c>
      <c r="AS294" s="115">
        <f t="shared" si="304"/>
        <v>13.49197396720993</v>
      </c>
      <c r="AT294" s="115">
        <f t="shared" si="304"/>
        <v>13.588315863608551</v>
      </c>
      <c r="AU294" s="115">
        <f t="shared" si="304"/>
        <v>13.70378953286793</v>
      </c>
      <c r="AV294" s="115">
        <f t="shared" si="304"/>
        <v>13.823503964572621</v>
      </c>
      <c r="AW294" s="115">
        <f t="shared" si="304"/>
        <v>13.871331964538495</v>
      </c>
      <c r="AX294" s="115">
        <f t="shared" si="304"/>
        <v>14.003781068161409</v>
      </c>
      <c r="AY294" s="115">
        <f t="shared" si="304"/>
        <v>14.068419459484625</v>
      </c>
      <c r="AZ294" s="115">
        <f t="shared" si="304"/>
        <v>14.309128141091293</v>
      </c>
      <c r="BA294" s="115">
        <f t="shared" si="304"/>
        <v>14.44865180564323</v>
      </c>
      <c r="BB294" s="115">
        <f t="shared" si="304"/>
        <v>14.477446882099049</v>
      </c>
      <c r="BC294" s="115">
        <f t="shared" si="304"/>
        <v>14.617205913639085</v>
      </c>
      <c r="BD294" s="115">
        <f t="shared" si="304"/>
        <v>14.669574702845454</v>
      </c>
      <c r="BE294" s="115">
        <f t="shared" si="304"/>
        <v>14.769194410414093</v>
      </c>
      <c r="BF294" s="115">
        <f t="shared" si="304"/>
        <v>14.860822086965978</v>
      </c>
      <c r="BG294" s="115">
        <f t="shared" si="304"/>
        <v>14.877881597926248</v>
      </c>
      <c r="BH294" s="115">
        <f t="shared" si="304"/>
        <v>14.898670864041531</v>
      </c>
      <c r="BI294" s="115">
        <f t="shared" si="304"/>
        <v>14.986909373471335</v>
      </c>
      <c r="BJ294" s="115">
        <f t="shared" si="304"/>
        <v>15.094533859701167</v>
      </c>
      <c r="BK294" s="65"/>
    </row>
    <row r="295" spans="3:63" s="51" customFormat="1">
      <c r="C295" s="51" t="s">
        <v>375</v>
      </c>
      <c r="D295" s="115">
        <f>9.3*LOG(D300)</f>
        <v>10.683141671065664</v>
      </c>
      <c r="E295" s="115">
        <f t="shared" ref="E295:BJ295" si="305">9.3*LOG(E300)</f>
        <v>10.683141671065664</v>
      </c>
      <c r="F295" s="115">
        <f t="shared" si="305"/>
        <v>10.683141671065664</v>
      </c>
      <c r="G295" s="115">
        <f t="shared" si="305"/>
        <v>10.683141671065664</v>
      </c>
      <c r="H295" s="115">
        <f t="shared" si="305"/>
        <v>10.683141671065664</v>
      </c>
      <c r="I295" s="115">
        <f t="shared" si="305"/>
        <v>10.683141671065664</v>
      </c>
      <c r="J295" s="115">
        <f t="shared" si="305"/>
        <v>10.683141671065664</v>
      </c>
      <c r="K295" s="115">
        <f t="shared" si="305"/>
        <v>10.683141671065664</v>
      </c>
      <c r="L295" s="115">
        <f t="shared" si="305"/>
        <v>10.683141671065664</v>
      </c>
      <c r="M295" s="115">
        <f t="shared" si="305"/>
        <v>10.683141671065664</v>
      </c>
      <c r="N295" s="115">
        <f t="shared" si="305"/>
        <v>10.670712096176041</v>
      </c>
      <c r="O295" s="115">
        <f t="shared" si="305"/>
        <v>10.685128627515287</v>
      </c>
      <c r="P295" s="115">
        <f t="shared" si="305"/>
        <v>10.736338033113146</v>
      </c>
      <c r="Q295" s="115">
        <f t="shared" si="305"/>
        <v>10.652269908147966</v>
      </c>
      <c r="R295" s="115">
        <f t="shared" si="305"/>
        <v>10.659806318268576</v>
      </c>
      <c r="S295" s="115">
        <f t="shared" si="305"/>
        <v>10.666945535285066</v>
      </c>
      <c r="T295" s="115">
        <f t="shared" si="305"/>
        <v>10.684452459330904</v>
      </c>
      <c r="U295" s="115">
        <f t="shared" si="305"/>
        <v>10.58816011523491</v>
      </c>
      <c r="V295" s="115">
        <f t="shared" si="305"/>
        <v>10.607918688839</v>
      </c>
      <c r="W295" s="115">
        <f t="shared" si="305"/>
        <v>10.503801530216975</v>
      </c>
      <c r="X295" s="115">
        <f t="shared" si="305"/>
        <v>10.710094545330435</v>
      </c>
      <c r="Y295" s="115">
        <f t="shared" si="305"/>
        <v>10.861300129052873</v>
      </c>
      <c r="Z295" s="115">
        <f t="shared" si="305"/>
        <v>10.726582179938397</v>
      </c>
      <c r="AA295" s="115">
        <f t="shared" si="305"/>
        <v>10.543779479991993</v>
      </c>
      <c r="AB295" s="115">
        <f t="shared" si="305"/>
        <v>10.415426009605312</v>
      </c>
      <c r="AC295" s="115">
        <f t="shared" si="305"/>
        <v>10.295661329627968</v>
      </c>
      <c r="AD295" s="115">
        <f t="shared" si="305"/>
        <v>10.069611333395745</v>
      </c>
      <c r="AE295" s="115">
        <f t="shared" si="305"/>
        <v>10.350873053904788</v>
      </c>
      <c r="AF295" s="115">
        <f t="shared" si="305"/>
        <v>10.452208530143123</v>
      </c>
      <c r="AG295" s="115">
        <f t="shared" si="305"/>
        <v>10.89682841000284</v>
      </c>
      <c r="AH295" s="115">
        <f t="shared" si="305"/>
        <v>11.279244197366486</v>
      </c>
      <c r="AI295" s="115">
        <f t="shared" si="305"/>
        <v>11.531388353100979</v>
      </c>
      <c r="AJ295" s="115">
        <f t="shared" si="305"/>
        <v>11.692788396133855</v>
      </c>
      <c r="AK295" s="115">
        <f t="shared" si="305"/>
        <v>11.908742531981535</v>
      </c>
      <c r="AL295" s="115">
        <f t="shared" si="305"/>
        <v>12.200923701658194</v>
      </c>
      <c r="AM295" s="115">
        <f t="shared" si="305"/>
        <v>12.509623875537784</v>
      </c>
      <c r="AN295" s="115">
        <f t="shared" si="305"/>
        <v>12.598235641173552</v>
      </c>
      <c r="AO295" s="115">
        <f t="shared" si="305"/>
        <v>12.745615275648502</v>
      </c>
      <c r="AP295" s="115">
        <f t="shared" si="305"/>
        <v>12.914577556508199</v>
      </c>
      <c r="AQ295" s="115">
        <f t="shared" si="305"/>
        <v>13.076895648440326</v>
      </c>
      <c r="AR295" s="115">
        <f t="shared" si="305"/>
        <v>13.172841073473387</v>
      </c>
      <c r="AS295" s="115">
        <f t="shared" si="305"/>
        <v>13.300109530407749</v>
      </c>
      <c r="AT295" s="115">
        <f t="shared" si="305"/>
        <v>13.389707494058465</v>
      </c>
      <c r="AU295" s="115">
        <f t="shared" si="305"/>
        <v>13.497098006469688</v>
      </c>
      <c r="AV295" s="115">
        <f t="shared" si="305"/>
        <v>13.608432427955051</v>
      </c>
      <c r="AW295" s="115">
        <f t="shared" si="305"/>
        <v>13.652912467923315</v>
      </c>
      <c r="AX295" s="115">
        <f t="shared" si="305"/>
        <v>13.776090134292623</v>
      </c>
      <c r="AY295" s="115">
        <f t="shared" si="305"/>
        <v>13.836203838223216</v>
      </c>
      <c r="AZ295" s="115">
        <f t="shared" si="305"/>
        <v>14.060062912117415</v>
      </c>
      <c r="BA295" s="115">
        <f t="shared" si="305"/>
        <v>14.189819920150718</v>
      </c>
      <c r="BB295" s="115">
        <f t="shared" si="305"/>
        <v>14.21659934125463</v>
      </c>
      <c r="BC295" s="115">
        <f t="shared" si="305"/>
        <v>14.346575240586862</v>
      </c>
      <c r="BD295" s="115">
        <f t="shared" si="305"/>
        <v>14.395278214548787</v>
      </c>
      <c r="BE295" s="115">
        <f t="shared" si="305"/>
        <v>14.487924542587619</v>
      </c>
      <c r="BF295" s="115">
        <f t="shared" si="305"/>
        <v>14.573138281780874</v>
      </c>
      <c r="BG295" s="115">
        <f t="shared" si="305"/>
        <v>14.589003626973923</v>
      </c>
      <c r="BH295" s="115">
        <f t="shared" si="305"/>
        <v>14.608337644461137</v>
      </c>
      <c r="BI295" s="115">
        <f t="shared" si="305"/>
        <v>14.690399458230855</v>
      </c>
      <c r="BJ295" s="115">
        <f t="shared" si="305"/>
        <v>14.7904902304246</v>
      </c>
      <c r="BK295" s="65"/>
    </row>
    <row r="296" spans="3:63">
      <c r="C296" s="46" t="str">
        <f t="shared" ref="C296:AH296" si="306">C25</f>
        <v>petrol exergy efficiency, y = 35(1-e^-0.025x)</v>
      </c>
      <c r="D296" s="82">
        <f t="shared" si="306"/>
        <v>0.15957566228914821</v>
      </c>
      <c r="E296" s="82">
        <f t="shared" si="306"/>
        <v>0.15957566228914821</v>
      </c>
      <c r="F296" s="82">
        <f t="shared" si="306"/>
        <v>0.15957566228914821</v>
      </c>
      <c r="G296" s="82">
        <f t="shared" si="306"/>
        <v>0.15957566228914824</v>
      </c>
      <c r="H296" s="82">
        <f t="shared" si="306"/>
        <v>0.15957566228914821</v>
      </c>
      <c r="I296" s="82">
        <f t="shared" si="306"/>
        <v>0.15957566228914824</v>
      </c>
      <c r="J296" s="82">
        <f t="shared" si="306"/>
        <v>0.15957566228914821</v>
      </c>
      <c r="K296" s="82">
        <f t="shared" si="306"/>
        <v>0.15957566228914824</v>
      </c>
      <c r="L296" s="82">
        <f t="shared" si="306"/>
        <v>0.15957566228914824</v>
      </c>
      <c r="M296" s="82">
        <f t="shared" si="306"/>
        <v>0.15957566228914821</v>
      </c>
      <c r="N296" s="82">
        <f t="shared" si="306"/>
        <v>0.15977832985657828</v>
      </c>
      <c r="O296" s="82">
        <f t="shared" si="306"/>
        <v>0.16068077968357733</v>
      </c>
      <c r="P296" s="82">
        <f t="shared" si="306"/>
        <v>0.15973940156086686</v>
      </c>
      <c r="Q296" s="82">
        <f t="shared" si="306"/>
        <v>0.15823003362711793</v>
      </c>
      <c r="R296" s="82">
        <f t="shared" si="306"/>
        <v>0.15934526063216348</v>
      </c>
      <c r="S296" s="82">
        <f t="shared" si="306"/>
        <v>0.16324187261236239</v>
      </c>
      <c r="T296" s="82">
        <f t="shared" si="306"/>
        <v>0.16372919018945534</v>
      </c>
      <c r="U296" s="82">
        <f t="shared" si="306"/>
        <v>0.16254752229460565</v>
      </c>
      <c r="V296" s="82">
        <f t="shared" si="306"/>
        <v>0.16047680163058048</v>
      </c>
      <c r="W296" s="82">
        <f t="shared" si="306"/>
        <v>0.1579245544997479</v>
      </c>
      <c r="X296" s="82">
        <f t="shared" si="306"/>
        <v>0.16263378185425792</v>
      </c>
      <c r="Y296" s="82">
        <f t="shared" si="306"/>
        <v>0.16793677186192457</v>
      </c>
      <c r="Z296" s="82">
        <f t="shared" si="306"/>
        <v>0.16810597008408468</v>
      </c>
      <c r="AA296" s="82">
        <f t="shared" si="306"/>
        <v>0.16748787469921694</v>
      </c>
      <c r="AB296" s="82">
        <f t="shared" si="306"/>
        <v>0.16937441294359271</v>
      </c>
      <c r="AC296" s="82">
        <f t="shared" si="306"/>
        <v>0.17106902296461737</v>
      </c>
      <c r="AD296" s="82">
        <f t="shared" si="306"/>
        <v>0.17067499596405628</v>
      </c>
      <c r="AE296" s="82">
        <f t="shared" si="306"/>
        <v>0.17462448779488315</v>
      </c>
      <c r="AF296" s="82">
        <f t="shared" si="306"/>
        <v>0.1764923155995331</v>
      </c>
      <c r="AG296" s="82">
        <f t="shared" si="306"/>
        <v>0.18077232454272851</v>
      </c>
      <c r="AH296" s="82">
        <f t="shared" si="306"/>
        <v>0.17707688799781174</v>
      </c>
      <c r="AI296" s="82">
        <f t="shared" ref="AI296:BJ296" si="307">AI25</f>
        <v>0.17715441011566577</v>
      </c>
      <c r="AJ296" s="82">
        <f t="shared" si="307"/>
        <v>0.17512993060076679</v>
      </c>
      <c r="AK296" s="82">
        <f t="shared" si="307"/>
        <v>0.17335647742683125</v>
      </c>
      <c r="AL296" s="82">
        <f t="shared" si="307"/>
        <v>0.17612832444328919</v>
      </c>
      <c r="AM296" s="82">
        <f t="shared" si="307"/>
        <v>0.17946721307183686</v>
      </c>
      <c r="AN296" s="82">
        <f t="shared" si="307"/>
        <v>0.17729463614075647</v>
      </c>
      <c r="AO296" s="82">
        <f t="shared" si="307"/>
        <v>0.17799028305817796</v>
      </c>
      <c r="AP296" s="82">
        <f t="shared" si="307"/>
        <v>0.18067370368605196</v>
      </c>
      <c r="AQ296" s="82">
        <f t="shared" si="307"/>
        <v>0.18070268875933287</v>
      </c>
      <c r="AR296" s="82">
        <f t="shared" si="307"/>
        <v>0.1807037510567342</v>
      </c>
      <c r="AS296" s="82">
        <f t="shared" si="307"/>
        <v>0.18239484916581919</v>
      </c>
      <c r="AT296" s="82">
        <f t="shared" si="307"/>
        <v>0.1825559884459059</v>
      </c>
      <c r="AU296" s="82">
        <f t="shared" si="307"/>
        <v>0.18387917975043055</v>
      </c>
      <c r="AV296" s="82">
        <f t="shared" si="307"/>
        <v>0.18404883077895423</v>
      </c>
      <c r="AW296" s="82">
        <f t="shared" si="307"/>
        <v>0.18294539099294047</v>
      </c>
      <c r="AX296" s="82">
        <f t="shared" si="307"/>
        <v>0.18437037586967936</v>
      </c>
      <c r="AY296" s="82">
        <f t="shared" si="307"/>
        <v>0.18365002855118884</v>
      </c>
      <c r="AZ296" s="82">
        <f t="shared" si="307"/>
        <v>0.18553345091565329</v>
      </c>
      <c r="BA296" s="82">
        <f t="shared" si="307"/>
        <v>0.18861151997382652</v>
      </c>
      <c r="BB296" s="82">
        <f t="shared" si="307"/>
        <v>0.19031440343162881</v>
      </c>
      <c r="BC296" s="82">
        <f t="shared" si="307"/>
        <v>0</v>
      </c>
      <c r="BD296" s="82">
        <f t="shared" si="307"/>
        <v>0</v>
      </c>
      <c r="BE296" s="82">
        <f t="shared" si="307"/>
        <v>0</v>
      </c>
      <c r="BF296" s="82">
        <f t="shared" si="307"/>
        <v>0</v>
      </c>
      <c r="BG296" s="82">
        <f t="shared" si="307"/>
        <v>0</v>
      </c>
      <c r="BH296" s="82">
        <f t="shared" si="307"/>
        <v>0</v>
      </c>
      <c r="BI296" s="82">
        <f t="shared" si="307"/>
        <v>0</v>
      </c>
      <c r="BJ296" s="82">
        <f t="shared" si="307"/>
        <v>0</v>
      </c>
    </row>
    <row r="297" spans="3:63">
      <c r="C297" s="46" t="str">
        <f t="shared" ref="C297:AH297" si="308">C26</f>
        <v>diesel exergy efficiency, y = 43.75(1-e^-0.025x)</v>
      </c>
      <c r="D297" s="82">
        <f t="shared" si="308"/>
        <v>0.11121274215320702</v>
      </c>
      <c r="E297" s="82">
        <f t="shared" si="308"/>
        <v>0.11121274215320696</v>
      </c>
      <c r="F297" s="82">
        <f t="shared" si="308"/>
        <v>0.11121274215320702</v>
      </c>
      <c r="G297" s="82">
        <f t="shared" si="308"/>
        <v>0.11121274215320696</v>
      </c>
      <c r="H297" s="82">
        <f t="shared" si="308"/>
        <v>0.11121274215320696</v>
      </c>
      <c r="I297" s="82">
        <f t="shared" si="308"/>
        <v>0.11121274215320696</v>
      </c>
      <c r="J297" s="82">
        <f t="shared" si="308"/>
        <v>0.11121274215320696</v>
      </c>
      <c r="K297" s="82">
        <f t="shared" si="308"/>
        <v>0.11121274215320696</v>
      </c>
      <c r="L297" s="82">
        <f t="shared" si="308"/>
        <v>0.11121274215320696</v>
      </c>
      <c r="M297" s="82">
        <f t="shared" si="308"/>
        <v>0.11121274215320696</v>
      </c>
      <c r="N297" s="82">
        <f t="shared" si="308"/>
        <v>0.11091855298567591</v>
      </c>
      <c r="O297" s="82">
        <f t="shared" si="308"/>
        <v>0.1112598297595818</v>
      </c>
      <c r="P297" s="82">
        <f t="shared" si="308"/>
        <v>0.11247906298805355</v>
      </c>
      <c r="Q297" s="82">
        <f t="shared" si="308"/>
        <v>0.11048323335533489</v>
      </c>
      <c r="R297" s="82">
        <f t="shared" si="308"/>
        <v>0.11066095685956194</v>
      </c>
      <c r="S297" s="82">
        <f t="shared" si="308"/>
        <v>0.11082953057573279</v>
      </c>
      <c r="T297" s="82">
        <f t="shared" si="308"/>
        <v>0.11124380384610733</v>
      </c>
      <c r="U297" s="82">
        <f t="shared" si="308"/>
        <v>0.1089808837749896</v>
      </c>
      <c r="V297" s="82">
        <f t="shared" si="308"/>
        <v>0.10944209886842129</v>
      </c>
      <c r="W297" s="82">
        <f t="shared" si="308"/>
        <v>0.10702978848780774</v>
      </c>
      <c r="X297" s="82">
        <f t="shared" si="308"/>
        <v>0.11185287687011244</v>
      </c>
      <c r="Y297" s="82">
        <f t="shared" si="308"/>
        <v>0.11550014004931991</v>
      </c>
      <c r="Z297" s="82">
        <f t="shared" si="308"/>
        <v>0.11224594778959419</v>
      </c>
      <c r="AA297" s="82">
        <f t="shared" si="308"/>
        <v>0.10795078261415936</v>
      </c>
      <c r="AB297" s="82">
        <f t="shared" si="308"/>
        <v>0.10501699320997183</v>
      </c>
      <c r="AC297" s="82">
        <f t="shared" si="308"/>
        <v>0.10233983630011806</v>
      </c>
      <c r="AD297" s="82">
        <f t="shared" si="308"/>
        <v>9.7443268647691705E-2</v>
      </c>
      <c r="AE297" s="82">
        <f t="shared" si="308"/>
        <v>0.10356681606912473</v>
      </c>
      <c r="AF297" s="82">
        <f t="shared" si="308"/>
        <v>0.10585086800312826</v>
      </c>
      <c r="AG297" s="82">
        <f t="shared" si="308"/>
        <v>0.11637100925335452</v>
      </c>
      <c r="AH297" s="82">
        <f t="shared" si="308"/>
        <v>0.12608294413231028</v>
      </c>
      <c r="AI297" s="82">
        <f t="shared" ref="AI297:BJ297" si="309">AI26</f>
        <v>0.13282839736846638</v>
      </c>
      <c r="AJ297" s="82">
        <f t="shared" si="309"/>
        <v>0.13729003632412218</v>
      </c>
      <c r="AK297" s="82">
        <f t="shared" si="309"/>
        <v>0.143435744452453</v>
      </c>
      <c r="AL297" s="82">
        <f t="shared" si="309"/>
        <v>0.15207088893372989</v>
      </c>
      <c r="AM297" s="82">
        <f t="shared" si="309"/>
        <v>0.16159089797073409</v>
      </c>
      <c r="AN297" s="82">
        <f t="shared" si="309"/>
        <v>0.16439794803510263</v>
      </c>
      <c r="AO297" s="82">
        <f t="shared" si="309"/>
        <v>0.16913905373674695</v>
      </c>
      <c r="AP297" s="82">
        <f t="shared" si="309"/>
        <v>0.17468419641627367</v>
      </c>
      <c r="AQ297" s="82">
        <f t="shared" si="309"/>
        <v>0.18011953210604217</v>
      </c>
      <c r="AR297" s="82">
        <f t="shared" si="309"/>
        <v>0.18338118355356364</v>
      </c>
      <c r="AS297" s="82">
        <f t="shared" si="309"/>
        <v>0.18776244552961463</v>
      </c>
      <c r="AT297" s="82">
        <f t="shared" si="309"/>
        <v>0.19088361211917754</v>
      </c>
      <c r="AU297" s="82">
        <f t="shared" si="309"/>
        <v>0.19466364667455832</v>
      </c>
      <c r="AV297" s="82">
        <f t="shared" si="309"/>
        <v>0.1986263667640005</v>
      </c>
      <c r="AW297" s="82">
        <f t="shared" si="309"/>
        <v>0.20022174150248401</v>
      </c>
      <c r="AX297" s="82">
        <f t="shared" si="309"/>
        <v>0.20467516740789446</v>
      </c>
      <c r="AY297" s="82">
        <f t="shared" si="309"/>
        <v>0.20686698389112135</v>
      </c>
      <c r="AZ297" s="82">
        <f t="shared" si="309"/>
        <v>0.21513059135750168</v>
      </c>
      <c r="BA297" s="82">
        <f t="shared" si="309"/>
        <v>0.2199897864503994</v>
      </c>
      <c r="BB297" s="82">
        <f t="shared" si="309"/>
        <v>0.2209986144578612</v>
      </c>
      <c r="BC297" s="82">
        <f t="shared" si="309"/>
        <v>0</v>
      </c>
      <c r="BD297" s="82">
        <f t="shared" si="309"/>
        <v>0</v>
      </c>
      <c r="BE297" s="82">
        <f t="shared" si="309"/>
        <v>0</v>
      </c>
      <c r="BF297" s="82">
        <f t="shared" si="309"/>
        <v>0</v>
      </c>
      <c r="BG297" s="82">
        <f t="shared" si="309"/>
        <v>0</v>
      </c>
      <c r="BH297" s="82">
        <f t="shared" si="309"/>
        <v>0</v>
      </c>
      <c r="BI297" s="82">
        <f t="shared" si="309"/>
        <v>0</v>
      </c>
      <c r="BJ297" s="82">
        <f t="shared" si="309"/>
        <v>0</v>
      </c>
    </row>
    <row r="298" spans="3:63" s="51" customFormat="1">
      <c r="C298" s="51" t="s">
        <v>376</v>
      </c>
      <c r="D298" s="134">
        <f>(D281*D296+D282*D297)/D283</f>
        <v>0.14763239699834313</v>
      </c>
      <c r="E298" s="134">
        <f t="shared" ref="E298:BJ298" si="310">(E281*E296+E282*E297)/E283</f>
        <v>0.14737477549663267</v>
      </c>
      <c r="F298" s="134">
        <f t="shared" si="310"/>
        <v>0.14720665278984113</v>
      </c>
      <c r="G298" s="134">
        <f t="shared" si="310"/>
        <v>0.14693632282650529</v>
      </c>
      <c r="H298" s="134">
        <f t="shared" si="310"/>
        <v>0.14699474954390571</v>
      </c>
      <c r="I298" s="134">
        <f t="shared" si="310"/>
        <v>0.14712766261102131</v>
      </c>
      <c r="J298" s="134">
        <f t="shared" si="310"/>
        <v>0.14715526432209963</v>
      </c>
      <c r="K298" s="134">
        <f t="shared" si="310"/>
        <v>0.14721276536470465</v>
      </c>
      <c r="L298" s="134">
        <f t="shared" si="310"/>
        <v>0.14714253099884539</v>
      </c>
      <c r="M298" s="134">
        <f t="shared" si="310"/>
        <v>0.1470219170470678</v>
      </c>
      <c r="N298" s="134">
        <f t="shared" si="310"/>
        <v>0.1472999835144928</v>
      </c>
      <c r="O298" s="134">
        <f t="shared" si="310"/>
        <v>0.14824039505250283</v>
      </c>
      <c r="P298" s="134">
        <f t="shared" si="310"/>
        <v>0.14827057812020003</v>
      </c>
      <c r="Q298" s="134">
        <f t="shared" si="310"/>
        <v>0.1465475622730712</v>
      </c>
      <c r="R298" s="134">
        <f t="shared" si="310"/>
        <v>0.14742415452486932</v>
      </c>
      <c r="S298" s="134">
        <f t="shared" si="310"/>
        <v>0.15036117931815446</v>
      </c>
      <c r="T298" s="134">
        <f t="shared" si="310"/>
        <v>0.15095490304223652</v>
      </c>
      <c r="U298" s="134">
        <f t="shared" si="310"/>
        <v>0.14957088708385496</v>
      </c>
      <c r="V298" s="134">
        <f t="shared" si="310"/>
        <v>0.14837559578494805</v>
      </c>
      <c r="W298" s="134">
        <f t="shared" si="310"/>
        <v>0.14573275997339308</v>
      </c>
      <c r="X298" s="134">
        <f t="shared" si="310"/>
        <v>0.15099280477989488</v>
      </c>
      <c r="Y298" s="134">
        <f t="shared" si="310"/>
        <v>0.15620118045906745</v>
      </c>
      <c r="Z298" s="134">
        <f t="shared" si="310"/>
        <v>0.15555323110656968</v>
      </c>
      <c r="AA298" s="134">
        <f t="shared" si="310"/>
        <v>0.15346033732743328</v>
      </c>
      <c r="AB298" s="134">
        <f t="shared" si="310"/>
        <v>0.15353937333856799</v>
      </c>
      <c r="AC298" s="134">
        <f t="shared" si="310"/>
        <v>0.15360602548156099</v>
      </c>
      <c r="AD298" s="134">
        <f t="shared" si="310"/>
        <v>0.15132249723278485</v>
      </c>
      <c r="AE298" s="134">
        <f t="shared" si="310"/>
        <v>0.1552600375140922</v>
      </c>
      <c r="AF298" s="134">
        <f t="shared" si="310"/>
        <v>0.15645783431187546</v>
      </c>
      <c r="AG298" s="134">
        <f t="shared" si="310"/>
        <v>0.16185575659230395</v>
      </c>
      <c r="AH298" s="134">
        <f t="shared" si="310"/>
        <v>0.16170862961990468</v>
      </c>
      <c r="AI298" s="134">
        <f t="shared" si="310"/>
        <v>0.16363611561162925</v>
      </c>
      <c r="AJ298" s="134">
        <f t="shared" si="310"/>
        <v>0.16326563603009445</v>
      </c>
      <c r="AK298" s="134">
        <f t="shared" si="310"/>
        <v>0.16350738722587371</v>
      </c>
      <c r="AL298" s="134">
        <f t="shared" si="310"/>
        <v>0.16749700833758235</v>
      </c>
      <c r="AM298" s="134">
        <f t="shared" si="310"/>
        <v>0.17271189074931081</v>
      </c>
      <c r="AN298" s="134">
        <f t="shared" si="310"/>
        <v>0.17228131062597365</v>
      </c>
      <c r="AO298" s="134">
        <f t="shared" si="310"/>
        <v>0.17444457123391369</v>
      </c>
      <c r="AP298" s="134">
        <f t="shared" si="310"/>
        <v>0.17823139444533689</v>
      </c>
      <c r="AQ298" s="134">
        <f t="shared" si="310"/>
        <v>0.1804610713795789</v>
      </c>
      <c r="AR298" s="134">
        <f t="shared" si="310"/>
        <v>0.18183008634988565</v>
      </c>
      <c r="AS298" s="134">
        <f t="shared" si="310"/>
        <v>0.18471812966039275</v>
      </c>
      <c r="AT298" s="134">
        <f t="shared" si="310"/>
        <v>0.18628361331338614</v>
      </c>
      <c r="AU298" s="134">
        <f t="shared" si="310"/>
        <v>0.18894929588073026</v>
      </c>
      <c r="AV298" s="134">
        <f t="shared" si="310"/>
        <v>0.1911464502390928</v>
      </c>
      <c r="AW298" s="134">
        <f t="shared" si="310"/>
        <v>0.19170298586136666</v>
      </c>
      <c r="AX298" s="134">
        <f t="shared" si="310"/>
        <v>0.19508055161389612</v>
      </c>
      <c r="AY298" s="134">
        <f t="shared" si="310"/>
        <v>0.19630390684006505</v>
      </c>
      <c r="AZ298" s="134">
        <f t="shared" si="310"/>
        <v>0.20194351987759496</v>
      </c>
      <c r="BA298" s="134">
        <f t="shared" si="310"/>
        <v>0.20631768793228808</v>
      </c>
      <c r="BB298" s="134">
        <f t="shared" si="310"/>
        <v>0.20837792754899609</v>
      </c>
      <c r="BC298" s="134">
        <f t="shared" si="310"/>
        <v>0</v>
      </c>
      <c r="BD298" s="134">
        <f t="shared" si="310"/>
        <v>0</v>
      </c>
      <c r="BE298" s="134">
        <f t="shared" si="310"/>
        <v>0</v>
      </c>
      <c r="BF298" s="134">
        <f t="shared" si="310"/>
        <v>0</v>
      </c>
      <c r="BG298" s="134">
        <f t="shared" si="310"/>
        <v>0</v>
      </c>
      <c r="BH298" s="134">
        <f t="shared" si="310"/>
        <v>0</v>
      </c>
      <c r="BI298" s="134">
        <f t="shared" si="310"/>
        <v>0</v>
      </c>
      <c r="BJ298" s="134">
        <f t="shared" si="310"/>
        <v>0</v>
      </c>
      <c r="BK298" s="65"/>
    </row>
    <row r="299" spans="3:63">
      <c r="C299" s="46" t="s">
        <v>377</v>
      </c>
      <c r="D299" s="80">
        <f t="shared" ref="D299:BJ299" si="311">(D284*1000000000/1.609)/(D281*1000000*$N$5)</f>
        <v>29.22824567507244</v>
      </c>
      <c r="E299" s="80">
        <f t="shared" si="311"/>
        <v>29.22824567507244</v>
      </c>
      <c r="F299" s="80">
        <f t="shared" si="311"/>
        <v>29.22824567507244</v>
      </c>
      <c r="G299" s="80">
        <f t="shared" si="311"/>
        <v>29.228245675072444</v>
      </c>
      <c r="H299" s="80">
        <f t="shared" si="311"/>
        <v>29.22824567507244</v>
      </c>
      <c r="I299" s="80">
        <f t="shared" si="311"/>
        <v>29.228245675072444</v>
      </c>
      <c r="J299" s="80">
        <f t="shared" si="311"/>
        <v>29.228245675072436</v>
      </c>
      <c r="K299" s="80">
        <f t="shared" si="311"/>
        <v>29.228245675072444</v>
      </c>
      <c r="L299" s="80">
        <f t="shared" si="311"/>
        <v>29.228245675072444</v>
      </c>
      <c r="M299" s="80">
        <f t="shared" si="311"/>
        <v>29.22824567507244</v>
      </c>
      <c r="N299" s="80">
        <f t="shared" si="311"/>
        <v>29.279379467256515</v>
      </c>
      <c r="O299" s="80">
        <f t="shared" si="311"/>
        <v>29.507734347706105</v>
      </c>
      <c r="P299" s="80">
        <f t="shared" si="311"/>
        <v>29.269553485457141</v>
      </c>
      <c r="Q299" s="80">
        <f t="shared" si="311"/>
        <v>28.890112487363552</v>
      </c>
      <c r="R299" s="80">
        <f t="shared" si="311"/>
        <v>29.170180527805982</v>
      </c>
      <c r="S299" s="80">
        <f t="shared" si="311"/>
        <v>30.161767647995891</v>
      </c>
      <c r="T299" s="80">
        <f t="shared" si="311"/>
        <v>30.287230393218085</v>
      </c>
      <c r="U299" s="80">
        <f t="shared" si="311"/>
        <v>29.983567511900944</v>
      </c>
      <c r="V299" s="80">
        <f t="shared" si="311"/>
        <v>29.456024903604582</v>
      </c>
      <c r="W299" s="80">
        <f t="shared" si="311"/>
        <v>28.813681360127546</v>
      </c>
      <c r="X299" s="80">
        <f t="shared" si="311"/>
        <v>30.005669481885736</v>
      </c>
      <c r="Y299" s="80">
        <f t="shared" si="311"/>
        <v>31.384351519162674</v>
      </c>
      <c r="Z299" s="80">
        <f t="shared" si="311"/>
        <v>31.42899832850647</v>
      </c>
      <c r="AA299" s="80">
        <f t="shared" si="311"/>
        <v>31.266100536070194</v>
      </c>
      <c r="AB299" s="80">
        <f t="shared" si="311"/>
        <v>31.765034597011542</v>
      </c>
      <c r="AC299" s="80">
        <f t="shared" si="311"/>
        <v>32.217672324658096</v>
      </c>
      <c r="AD299" s="80">
        <f t="shared" si="311"/>
        <v>32.112044656165828</v>
      </c>
      <c r="AE299" s="80">
        <f t="shared" si="311"/>
        <v>33.181449960970262</v>
      </c>
      <c r="AF299" s="80">
        <f t="shared" si="311"/>
        <v>33.695618995665583</v>
      </c>
      <c r="AG299" s="80">
        <f t="shared" si="311"/>
        <v>34.894989395176268</v>
      </c>
      <c r="AH299" s="80">
        <f t="shared" si="311"/>
        <v>33.857675777757755</v>
      </c>
      <c r="AI299" s="80">
        <f t="shared" si="311"/>
        <v>33.879207806072223</v>
      </c>
      <c r="AJ299" s="80">
        <f t="shared" si="311"/>
        <v>33.3200440286248</v>
      </c>
      <c r="AK299" s="80">
        <f t="shared" si="311"/>
        <v>32.835507778633051</v>
      </c>
      <c r="AL299" s="80">
        <f t="shared" si="311"/>
        <v>33.594987954573391</v>
      </c>
      <c r="AM299" s="80">
        <f t="shared" si="311"/>
        <v>34.526078153565848</v>
      </c>
      <c r="AN299" s="80">
        <f t="shared" si="311"/>
        <v>33.918180599624513</v>
      </c>
      <c r="AO299" s="80">
        <f t="shared" si="311"/>
        <v>34.111989695938583</v>
      </c>
      <c r="AP299" s="80">
        <f t="shared" si="311"/>
        <v>34.867013379961861</v>
      </c>
      <c r="AQ299" s="80">
        <f t="shared" si="311"/>
        <v>34.875233954227397</v>
      </c>
      <c r="AR299" s="80">
        <f t="shared" si="311"/>
        <v>34.875535263440192</v>
      </c>
      <c r="AS299" s="80">
        <f t="shared" si="311"/>
        <v>35.35761027644093</v>
      </c>
      <c r="AT299" s="80">
        <f t="shared" si="311"/>
        <v>35.403799206434527</v>
      </c>
      <c r="AU299" s="80">
        <f t="shared" si="311"/>
        <v>35.784768213207542</v>
      </c>
      <c r="AV299" s="80">
        <f t="shared" si="311"/>
        <v>35.833832927723648</v>
      </c>
      <c r="AW299" s="80">
        <f t="shared" si="311"/>
        <v>35.515601223399422</v>
      </c>
      <c r="AX299" s="80">
        <f t="shared" si="311"/>
        <v>35.926964650914805</v>
      </c>
      <c r="AY299" s="80">
        <f t="shared" si="311"/>
        <v>35.718574965292902</v>
      </c>
      <c r="AZ299" s="80">
        <f t="shared" si="311"/>
        <v>36.2653519321766</v>
      </c>
      <c r="BA299" s="80">
        <f t="shared" si="311"/>
        <v>37.172570299998455</v>
      </c>
      <c r="BB299" s="80">
        <f t="shared" si="311"/>
        <v>37.681934880426219</v>
      </c>
      <c r="BC299" s="80">
        <f t="shared" si="311"/>
        <v>38.266375964075898</v>
      </c>
      <c r="BD299" s="80">
        <f t="shared" si="311"/>
        <v>38.41938730057565</v>
      </c>
      <c r="BE299" s="80">
        <f t="shared" si="311"/>
        <v>39.093926165193103</v>
      </c>
      <c r="BF299" s="80">
        <f t="shared" si="311"/>
        <v>39.93720410539936</v>
      </c>
      <c r="BG299" s="80">
        <f t="shared" si="311"/>
        <v>40.216578075389599</v>
      </c>
      <c r="BH299" s="80">
        <f t="shared" si="311"/>
        <v>40.474155901507508</v>
      </c>
      <c r="BI299" s="80">
        <f t="shared" si="311"/>
        <v>41.25041878297138</v>
      </c>
      <c r="BJ299" s="80">
        <f t="shared" si="311"/>
        <v>42.504116127135845</v>
      </c>
    </row>
    <row r="300" spans="3:63">
      <c r="C300" s="46" t="s">
        <v>378</v>
      </c>
      <c r="D300" s="80">
        <f t="shared" ref="D300:BJ300" si="312">(D285*1000000000/1.609)/(D282*1000000*$N$9)</f>
        <v>14.08396414811236</v>
      </c>
      <c r="E300" s="80">
        <f t="shared" si="312"/>
        <v>14.083964148112358</v>
      </c>
      <c r="F300" s="80">
        <f t="shared" si="312"/>
        <v>14.08396414811236</v>
      </c>
      <c r="G300" s="80">
        <f t="shared" si="312"/>
        <v>14.083964148112358</v>
      </c>
      <c r="H300" s="80">
        <f t="shared" si="312"/>
        <v>14.083964148112358</v>
      </c>
      <c r="I300" s="80">
        <f t="shared" si="312"/>
        <v>14.083964148112358</v>
      </c>
      <c r="J300" s="80">
        <f t="shared" si="312"/>
        <v>14.083964148112358</v>
      </c>
      <c r="K300" s="80">
        <f t="shared" si="312"/>
        <v>14.083964148112358</v>
      </c>
      <c r="L300" s="80">
        <f t="shared" si="312"/>
        <v>14.083964148112358</v>
      </c>
      <c r="M300" s="80">
        <f t="shared" si="312"/>
        <v>14.083964148112356</v>
      </c>
      <c r="N300" s="80">
        <f t="shared" si="312"/>
        <v>14.040688274771389</v>
      </c>
      <c r="O300" s="80">
        <f t="shared" si="312"/>
        <v>14.090894460790137</v>
      </c>
      <c r="P300" s="80">
        <f t="shared" si="312"/>
        <v>14.270689266155694</v>
      </c>
      <c r="Q300" s="80">
        <f t="shared" si="312"/>
        <v>13.97672326877229</v>
      </c>
      <c r="R300" s="80">
        <f t="shared" si="312"/>
        <v>14.002827317836603</v>
      </c>
      <c r="S300" s="80">
        <f t="shared" si="312"/>
        <v>14.027600565388843</v>
      </c>
      <c r="T300" s="80">
        <f t="shared" si="312"/>
        <v>14.088535668596862</v>
      </c>
      <c r="U300" s="80">
        <f t="shared" si="312"/>
        <v>13.756623150076093</v>
      </c>
      <c r="V300" s="80">
        <f t="shared" si="312"/>
        <v>13.824085721611151</v>
      </c>
      <c r="W300" s="80">
        <f t="shared" si="312"/>
        <v>13.472277654256533</v>
      </c>
      <c r="X300" s="80">
        <f t="shared" si="312"/>
        <v>14.178264349764222</v>
      </c>
      <c r="Y300" s="80">
        <f t="shared" si="312"/>
        <v>14.719116215564542</v>
      </c>
      <c r="Z300" s="80">
        <f t="shared" si="312"/>
        <v>14.236260731169866</v>
      </c>
      <c r="AA300" s="80">
        <f t="shared" si="312"/>
        <v>13.606290184786431</v>
      </c>
      <c r="AB300" s="80">
        <f t="shared" si="312"/>
        <v>13.180694089133224</v>
      </c>
      <c r="AC300" s="80">
        <f t="shared" si="312"/>
        <v>12.795591242718627</v>
      </c>
      <c r="AD300" s="80">
        <f t="shared" si="312"/>
        <v>12.099123418390183</v>
      </c>
      <c r="AE300" s="80">
        <f t="shared" si="312"/>
        <v>12.971706167798938</v>
      </c>
      <c r="AF300" s="80">
        <f t="shared" si="312"/>
        <v>13.301278610127593</v>
      </c>
      <c r="AG300" s="80">
        <f t="shared" si="312"/>
        <v>14.849163171746842</v>
      </c>
      <c r="AH300" s="80">
        <f t="shared" si="312"/>
        <v>16.323825994004149</v>
      </c>
      <c r="AI300" s="80">
        <f t="shared" si="312"/>
        <v>17.375376804094735</v>
      </c>
      <c r="AJ300" s="80">
        <f t="shared" si="312"/>
        <v>18.083774166766503</v>
      </c>
      <c r="AK300" s="80">
        <f t="shared" si="312"/>
        <v>19.076994288343791</v>
      </c>
      <c r="AL300" s="80">
        <f t="shared" si="312"/>
        <v>20.508187516144194</v>
      </c>
      <c r="AM300" s="80">
        <f t="shared" si="312"/>
        <v>22.13710611278163</v>
      </c>
      <c r="AN300" s="80">
        <f t="shared" si="312"/>
        <v>22.628147118537179</v>
      </c>
      <c r="AO300" s="80">
        <f t="shared" si="312"/>
        <v>23.469090852951364</v>
      </c>
      <c r="AP300" s="80">
        <f t="shared" si="312"/>
        <v>24.471706391018841</v>
      </c>
      <c r="AQ300" s="80">
        <f t="shared" si="312"/>
        <v>25.4752122844037</v>
      </c>
      <c r="AR300" s="80">
        <f t="shared" si="312"/>
        <v>26.087623859280075</v>
      </c>
      <c r="AS300" s="80">
        <f t="shared" si="312"/>
        <v>26.922742927302185</v>
      </c>
      <c r="AT300" s="80">
        <f t="shared" si="312"/>
        <v>27.526658437450191</v>
      </c>
      <c r="AU300" s="80">
        <f t="shared" si="312"/>
        <v>28.268376106937151</v>
      </c>
      <c r="AV300" s="80">
        <f t="shared" si="312"/>
        <v>29.058440572577794</v>
      </c>
      <c r="AW300" s="80">
        <f t="shared" si="312"/>
        <v>29.380224099671487</v>
      </c>
      <c r="AX300" s="80">
        <f t="shared" si="312"/>
        <v>30.290051688790715</v>
      </c>
      <c r="AY300" s="80">
        <f t="shared" si="312"/>
        <v>30.744246502340925</v>
      </c>
      <c r="AZ300" s="80">
        <f t="shared" si="312"/>
        <v>32.496360333741215</v>
      </c>
      <c r="BA300" s="80">
        <f t="shared" si="312"/>
        <v>33.557306003492151</v>
      </c>
      <c r="BB300" s="80">
        <f t="shared" si="312"/>
        <v>33.78054063110973</v>
      </c>
      <c r="BC300" s="80">
        <f t="shared" si="312"/>
        <v>34.88530296349132</v>
      </c>
      <c r="BD300" s="80">
        <f t="shared" si="312"/>
        <v>35.308508939074883</v>
      </c>
      <c r="BE300" s="80">
        <f t="shared" si="312"/>
        <v>36.127786076603826</v>
      </c>
      <c r="BF300" s="80">
        <f t="shared" si="312"/>
        <v>36.898109582218332</v>
      </c>
      <c r="BG300" s="80">
        <f t="shared" si="312"/>
        <v>37.043333997653249</v>
      </c>
      <c r="BH300" s="80">
        <f t="shared" si="312"/>
        <v>37.22108202621618</v>
      </c>
      <c r="BI300" s="80">
        <f t="shared" si="312"/>
        <v>37.98506246931219</v>
      </c>
      <c r="BJ300" s="80">
        <f t="shared" si="312"/>
        <v>38.938148188145348</v>
      </c>
    </row>
    <row r="301" spans="3:63" s="51" customFormat="1">
      <c r="C301" s="51" t="s">
        <v>379</v>
      </c>
      <c r="D301" s="115"/>
      <c r="E301" s="115"/>
      <c r="F301" s="115"/>
      <c r="G301" s="115"/>
      <c r="H301" s="115"/>
      <c r="I301" s="115"/>
      <c r="J301" s="115"/>
      <c r="K301" s="115"/>
      <c r="L301" s="115"/>
      <c r="M301" s="115"/>
      <c r="N301" s="115"/>
      <c r="O301" s="115"/>
      <c r="P301" s="115"/>
      <c r="Q301" s="115"/>
      <c r="R301" s="115"/>
      <c r="S301" s="115"/>
      <c r="T301" s="115"/>
      <c r="U301" s="115"/>
      <c r="V301" s="115"/>
      <c r="W301" s="115"/>
      <c r="X301" s="115"/>
      <c r="Y301" s="115"/>
      <c r="Z301" s="115"/>
      <c r="AA301" s="115"/>
      <c r="AB301" s="115"/>
      <c r="AC301" s="115"/>
      <c r="AD301" s="115"/>
      <c r="AE301" s="115"/>
      <c r="AF301" s="115"/>
      <c r="AG301" s="115"/>
      <c r="AH301" s="115"/>
      <c r="AI301" s="115"/>
      <c r="AJ301" s="115"/>
      <c r="AK301" s="115"/>
      <c r="AL301" s="115"/>
      <c r="AM301" s="115"/>
      <c r="AN301" s="115"/>
      <c r="AO301" s="115"/>
      <c r="AP301" s="115"/>
      <c r="AQ301" s="115"/>
      <c r="AR301" s="115"/>
      <c r="AS301" s="115"/>
      <c r="AT301" s="115"/>
      <c r="AU301" s="115"/>
      <c r="AV301" s="115"/>
      <c r="AW301" s="115"/>
      <c r="AX301" s="115"/>
      <c r="AY301" s="115"/>
      <c r="AZ301" s="115"/>
      <c r="BA301" s="115"/>
      <c r="BB301" s="115"/>
      <c r="BC301" s="119"/>
      <c r="BK301" s="65"/>
    </row>
    <row r="302" spans="3:63" s="51" customFormat="1">
      <c r="D302" s="115"/>
      <c r="E302" s="115"/>
      <c r="F302" s="115"/>
      <c r="G302" s="115"/>
      <c r="H302" s="115"/>
      <c r="I302" s="115"/>
      <c r="J302" s="115"/>
      <c r="K302" s="115"/>
      <c r="L302" s="115"/>
      <c r="M302" s="115"/>
      <c r="N302" s="115"/>
      <c r="O302" s="115"/>
      <c r="P302" s="115"/>
      <c r="Q302" s="115"/>
      <c r="R302" s="115"/>
      <c r="S302" s="115"/>
      <c r="T302" s="115"/>
      <c r="U302" s="115"/>
      <c r="V302" s="115"/>
      <c r="W302" s="115"/>
      <c r="X302" s="115"/>
      <c r="Y302" s="115"/>
      <c r="Z302" s="115"/>
      <c r="AA302" s="115"/>
      <c r="AB302" s="115"/>
      <c r="AC302" s="115"/>
      <c r="AD302" s="115"/>
      <c r="AE302" s="115"/>
      <c r="AF302" s="115"/>
      <c r="AG302" s="115"/>
      <c r="AH302" s="115"/>
      <c r="AI302" s="115"/>
      <c r="AJ302" s="115"/>
      <c r="AK302" s="115"/>
      <c r="AL302" s="115"/>
      <c r="AM302" s="115"/>
      <c r="AN302" s="115"/>
      <c r="AO302" s="115"/>
      <c r="AP302" s="115"/>
      <c r="AQ302" s="115"/>
      <c r="AR302" s="115"/>
      <c r="AS302" s="115"/>
      <c r="AT302" s="115"/>
      <c r="AU302" s="115"/>
      <c r="AV302" s="115"/>
      <c r="AW302" s="115"/>
      <c r="AX302" s="115"/>
      <c r="AY302" s="115"/>
      <c r="AZ302" s="115"/>
      <c r="BA302" s="115"/>
      <c r="BB302" s="115"/>
      <c r="BC302" s="119"/>
      <c r="BK302" s="65"/>
    </row>
    <row r="303" spans="3:63" s="51" customFormat="1">
      <c r="C303" s="51" t="s">
        <v>380</v>
      </c>
      <c r="D303" s="115">
        <f>D299*0.833</f>
        <v>24.347128647335342</v>
      </c>
      <c r="E303" s="115">
        <f t="shared" ref="E303:BJ303" si="313">E299*0.833</f>
        <v>24.347128647335342</v>
      </c>
      <c r="F303" s="115">
        <f t="shared" si="313"/>
        <v>24.347128647335342</v>
      </c>
      <c r="G303" s="115">
        <f t="shared" si="313"/>
        <v>24.347128647335346</v>
      </c>
      <c r="H303" s="115">
        <f t="shared" si="313"/>
        <v>24.347128647335342</v>
      </c>
      <c r="I303" s="115">
        <f t="shared" si="313"/>
        <v>24.347128647335346</v>
      </c>
      <c r="J303" s="115">
        <f t="shared" si="313"/>
        <v>24.347128647335339</v>
      </c>
      <c r="K303" s="115">
        <f t="shared" si="313"/>
        <v>24.347128647335346</v>
      </c>
      <c r="L303" s="115">
        <f t="shared" si="313"/>
        <v>24.347128647335346</v>
      </c>
      <c r="M303" s="115">
        <f t="shared" si="313"/>
        <v>24.347128647335342</v>
      </c>
      <c r="N303" s="115">
        <f t="shared" si="313"/>
        <v>24.389723096224674</v>
      </c>
      <c r="O303" s="115">
        <f t="shared" si="313"/>
        <v>24.579942711639184</v>
      </c>
      <c r="P303" s="115">
        <f t="shared" si="313"/>
        <v>24.381538053385796</v>
      </c>
      <c r="Q303" s="115">
        <f t="shared" si="313"/>
        <v>24.065463701973837</v>
      </c>
      <c r="R303" s="115">
        <f t="shared" si="313"/>
        <v>24.298760379662383</v>
      </c>
      <c r="S303" s="115">
        <f t="shared" si="313"/>
        <v>25.124752450780576</v>
      </c>
      <c r="T303" s="115">
        <f t="shared" si="313"/>
        <v>25.229262917550663</v>
      </c>
      <c r="U303" s="115">
        <f t="shared" si="313"/>
        <v>24.976311737413486</v>
      </c>
      <c r="V303" s="115">
        <f t="shared" si="313"/>
        <v>24.536868744702616</v>
      </c>
      <c r="W303" s="115">
        <f t="shared" si="313"/>
        <v>24.001796572986244</v>
      </c>
      <c r="X303" s="115">
        <f t="shared" si="313"/>
        <v>24.994722678410817</v>
      </c>
      <c r="Y303" s="115">
        <f t="shared" si="313"/>
        <v>26.143164815462505</v>
      </c>
      <c r="Z303" s="115">
        <f t="shared" si="313"/>
        <v>26.18035560764589</v>
      </c>
      <c r="AA303" s="115">
        <f t="shared" si="313"/>
        <v>26.04466174654647</v>
      </c>
      <c r="AB303" s="115">
        <f t="shared" si="313"/>
        <v>26.460273819310615</v>
      </c>
      <c r="AC303" s="115">
        <f t="shared" si="313"/>
        <v>26.837321046440191</v>
      </c>
      <c r="AD303" s="115">
        <f t="shared" si="313"/>
        <v>26.749333198586132</v>
      </c>
      <c r="AE303" s="115">
        <f t="shared" si="313"/>
        <v>27.640147817488227</v>
      </c>
      <c r="AF303" s="115">
        <f t="shared" si="313"/>
        <v>28.068450623389431</v>
      </c>
      <c r="AG303" s="115">
        <f t="shared" si="313"/>
        <v>29.067526166181828</v>
      </c>
      <c r="AH303" s="115">
        <f t="shared" si="313"/>
        <v>28.203443922872211</v>
      </c>
      <c r="AI303" s="115">
        <f t="shared" si="313"/>
        <v>28.221380102458159</v>
      </c>
      <c r="AJ303" s="115">
        <f t="shared" si="313"/>
        <v>27.755596675844458</v>
      </c>
      <c r="AK303" s="115">
        <f t="shared" si="313"/>
        <v>27.35197797960133</v>
      </c>
      <c r="AL303" s="115">
        <f t="shared" si="313"/>
        <v>27.984624966159632</v>
      </c>
      <c r="AM303" s="115">
        <f t="shared" si="313"/>
        <v>28.760223101920349</v>
      </c>
      <c r="AN303" s="115">
        <f t="shared" si="313"/>
        <v>28.253844439487217</v>
      </c>
      <c r="AO303" s="115">
        <f t="shared" si="313"/>
        <v>28.415287416716836</v>
      </c>
      <c r="AP303" s="115">
        <f t="shared" si="313"/>
        <v>29.044222145508229</v>
      </c>
      <c r="AQ303" s="115">
        <f t="shared" si="313"/>
        <v>29.051069883871421</v>
      </c>
      <c r="AR303" s="115">
        <f t="shared" si="313"/>
        <v>29.051320874445679</v>
      </c>
      <c r="AS303" s="115">
        <f t="shared" si="313"/>
        <v>29.452889360275293</v>
      </c>
      <c r="AT303" s="115">
        <f t="shared" si="313"/>
        <v>29.491364738959959</v>
      </c>
      <c r="AU303" s="115">
        <f t="shared" si="313"/>
        <v>29.80871192160188</v>
      </c>
      <c r="AV303" s="115">
        <f t="shared" si="313"/>
        <v>29.849582828793796</v>
      </c>
      <c r="AW303" s="115">
        <f t="shared" si="313"/>
        <v>29.584495819091718</v>
      </c>
      <c r="AX303" s="115">
        <f t="shared" si="313"/>
        <v>29.927161554212031</v>
      </c>
      <c r="AY303" s="115">
        <f t="shared" si="313"/>
        <v>29.753572946088987</v>
      </c>
      <c r="AZ303" s="115">
        <f t="shared" si="313"/>
        <v>30.209038159503105</v>
      </c>
      <c r="BA303" s="115">
        <f t="shared" si="313"/>
        <v>30.964751059898713</v>
      </c>
      <c r="BB303" s="115">
        <f t="shared" si="313"/>
        <v>31.389051755395037</v>
      </c>
      <c r="BC303" s="115">
        <f t="shared" si="313"/>
        <v>31.875891178075221</v>
      </c>
      <c r="BD303" s="115">
        <f t="shared" si="313"/>
        <v>32.003349621379513</v>
      </c>
      <c r="BE303" s="115">
        <f t="shared" si="313"/>
        <v>32.565240495605856</v>
      </c>
      <c r="BF303" s="115">
        <f t="shared" si="313"/>
        <v>33.267691019797667</v>
      </c>
      <c r="BG303" s="115">
        <f t="shared" si="313"/>
        <v>33.500409536799538</v>
      </c>
      <c r="BH303" s="115">
        <f t="shared" si="313"/>
        <v>33.714971865955754</v>
      </c>
      <c r="BI303" s="115">
        <f t="shared" si="313"/>
        <v>34.361598846215159</v>
      </c>
      <c r="BJ303" s="115">
        <f t="shared" si="313"/>
        <v>35.405928733904155</v>
      </c>
      <c r="BK303" s="65"/>
    </row>
    <row r="304" spans="3:63" s="51" customFormat="1">
      <c r="D304" s="115"/>
      <c r="E304" s="115"/>
      <c r="F304" s="115"/>
      <c r="G304" s="115"/>
      <c r="H304" s="115"/>
      <c r="I304" s="115"/>
      <c r="J304" s="115"/>
      <c r="K304" s="115"/>
      <c r="L304" s="115"/>
      <c r="M304" s="115"/>
      <c r="N304" s="115"/>
      <c r="O304" s="115"/>
      <c r="P304" s="115"/>
      <c r="Q304" s="115"/>
      <c r="R304" s="115"/>
      <c r="S304" s="115"/>
      <c r="T304" s="115"/>
      <c r="U304" s="115"/>
      <c r="V304" s="115"/>
      <c r="W304" s="115"/>
      <c r="X304" s="115"/>
      <c r="Y304" s="115"/>
      <c r="Z304" s="115"/>
      <c r="AA304" s="115"/>
      <c r="AB304" s="115"/>
      <c r="AC304" s="115"/>
      <c r="AD304" s="115"/>
      <c r="AE304" s="115"/>
      <c r="AF304" s="115"/>
      <c r="AG304" s="115"/>
      <c r="AH304" s="115"/>
      <c r="AI304" s="115"/>
      <c r="AJ304" s="115"/>
      <c r="AK304" s="115"/>
      <c r="AL304" s="115"/>
      <c r="AM304" s="115"/>
      <c r="AN304" s="115"/>
      <c r="AO304" s="115"/>
      <c r="AP304" s="115"/>
      <c r="AQ304" s="115"/>
      <c r="AR304" s="115"/>
      <c r="AS304" s="115"/>
      <c r="AT304" s="115"/>
      <c r="AU304" s="115"/>
      <c r="AV304" s="115"/>
      <c r="AW304" s="115"/>
      <c r="AX304" s="115"/>
      <c r="AY304" s="115"/>
      <c r="AZ304" s="115"/>
      <c r="BA304" s="115"/>
      <c r="BB304" s="115"/>
      <c r="BC304" s="115"/>
      <c r="BD304" s="115"/>
      <c r="BE304" s="115"/>
      <c r="BF304" s="115"/>
      <c r="BG304" s="115"/>
      <c r="BH304" s="115"/>
      <c r="BI304" s="115"/>
      <c r="BJ304" s="115"/>
      <c r="BK304" s="65"/>
    </row>
    <row r="305" spans="1:63" s="51" customFormat="1">
      <c r="C305" s="135" t="s">
        <v>381</v>
      </c>
      <c r="D305" s="136">
        <v>13.197054801575648</v>
      </c>
      <c r="E305" s="104">
        <v>13.295086955157087</v>
      </c>
      <c r="F305" s="104">
        <v>13.393119108738526</v>
      </c>
      <c r="G305" s="104">
        <v>13.491151262319965</v>
      </c>
      <c r="H305" s="104">
        <v>13.589183415901404</v>
      </c>
      <c r="I305" s="137">
        <v>13.68721556948284</v>
      </c>
      <c r="J305" s="104">
        <v>13.628390780428564</v>
      </c>
      <c r="K305" s="104">
        <v>13.569565991374288</v>
      </c>
      <c r="L305" s="104">
        <v>13.510741202320013</v>
      </c>
      <c r="M305" s="104">
        <v>13.451916413265737</v>
      </c>
      <c r="N305" s="138">
        <v>13.393091624211458</v>
      </c>
      <c r="O305" s="122">
        <v>13.405942192706743</v>
      </c>
      <c r="P305" s="122">
        <v>13.418792761202027</v>
      </c>
      <c r="Q305" s="122">
        <v>13.431643329697312</v>
      </c>
      <c r="R305" s="122">
        <v>13.444493898192597</v>
      </c>
      <c r="S305" s="122">
        <v>13.45734446668788</v>
      </c>
      <c r="T305" s="122">
        <v>13.826593251845654</v>
      </c>
      <c r="U305" s="122">
        <v>14.195842037003429</v>
      </c>
      <c r="V305" s="122">
        <v>14.565090822161203</v>
      </c>
      <c r="W305" s="122">
        <v>14.934339607318977</v>
      </c>
      <c r="X305" s="137">
        <v>15.303588392476749</v>
      </c>
      <c r="Y305" s="122">
        <v>15.696882728057679</v>
      </c>
      <c r="Z305" s="122">
        <v>16.09017706363861</v>
      </c>
      <c r="AA305" s="122">
        <v>16.483471399219539</v>
      </c>
      <c r="AB305" s="122">
        <v>16.876765734800468</v>
      </c>
      <c r="AC305" s="137">
        <v>17.270060070381398</v>
      </c>
      <c r="AD305" s="122">
        <v>17.67184947057304</v>
      </c>
      <c r="AE305" s="122">
        <v>18.073638870764682</v>
      </c>
      <c r="AF305" s="122">
        <v>18.475428270956325</v>
      </c>
      <c r="AG305" s="122">
        <v>18.877217671147967</v>
      </c>
      <c r="AH305" s="137">
        <v>19.279007071339617</v>
      </c>
      <c r="AI305" s="137">
        <v>19.913392821192801</v>
      </c>
      <c r="AJ305" s="137">
        <v>19.988444728746977</v>
      </c>
      <c r="AK305" s="137">
        <v>20.018615279872112</v>
      </c>
      <c r="AL305" s="137">
        <v>19.904044146485482</v>
      </c>
      <c r="AM305" s="137">
        <v>19.995298550986774</v>
      </c>
      <c r="AN305" s="137">
        <v>20.047069647114174</v>
      </c>
      <c r="AO305" s="137">
        <v>20.186048676831316</v>
      </c>
      <c r="AP305" s="137">
        <v>20.625026158056269</v>
      </c>
      <c r="AQ305" s="137">
        <v>20.315369048251508</v>
      </c>
      <c r="AR305" s="137">
        <v>20.624399364619347</v>
      </c>
      <c r="AS305" s="137">
        <v>20.79656680098352</v>
      </c>
      <c r="AT305" s="137">
        <v>20.736660060709248</v>
      </c>
      <c r="AU305" s="137">
        <v>20.193017194526458</v>
      </c>
      <c r="AV305" s="137">
        <v>20.552284807884224</v>
      </c>
      <c r="AW305" s="137">
        <v>21.044466333604017</v>
      </c>
      <c r="AX305" s="137">
        <v>21.274145831973524</v>
      </c>
      <c r="AY305" s="137">
        <v>21.528463794298183</v>
      </c>
      <c r="AZ305" s="137">
        <v>22.291194577534764</v>
      </c>
      <c r="BA305" s="137">
        <v>22.893671884457859</v>
      </c>
      <c r="BB305" s="137">
        <v>22.41287587147643</v>
      </c>
      <c r="BC305" s="137"/>
      <c r="BD305" s="137"/>
      <c r="BE305" s="137"/>
      <c r="BF305" s="137"/>
      <c r="BG305" s="137"/>
      <c r="BH305" s="137"/>
      <c r="BI305" s="137"/>
      <c r="BJ305" s="137"/>
      <c r="BK305" s="65"/>
    </row>
    <row r="306" spans="1:63" s="78" customFormat="1">
      <c r="A306" s="84"/>
      <c r="B306" s="84"/>
      <c r="C306" s="135" t="s">
        <v>382</v>
      </c>
      <c r="D306" s="139">
        <v>8.1010415833571173E-2</v>
      </c>
      <c r="E306" s="78">
        <v>8.1550395049725694E-2</v>
      </c>
      <c r="F306" s="84">
        <v>8.2086407284866228E-2</v>
      </c>
      <c r="G306" s="84">
        <v>8.2618510401362991E-2</v>
      </c>
      <c r="H306" s="87">
        <v>8.3146761004776124E-2</v>
      </c>
      <c r="I306" s="87">
        <v>8.367121447999247E-2</v>
      </c>
      <c r="J306" s="87">
        <v>8.335696556046672E-2</v>
      </c>
      <c r="K306" s="87">
        <v>8.3041357297363699E-2</v>
      </c>
      <c r="L306" s="87">
        <v>8.2724377879373492E-2</v>
      </c>
      <c r="M306" s="87">
        <v>8.2406015340571945E-2</v>
      </c>
      <c r="N306" s="87">
        <v>8.2086257557710082E-2</v>
      </c>
      <c r="O306" s="87">
        <v>8.2156229966719577E-2</v>
      </c>
      <c r="P306" s="87">
        <v>8.222613533421877E-2</v>
      </c>
      <c r="Q306" s="87">
        <v>8.2295973788551469E-2</v>
      </c>
      <c r="R306" s="87">
        <v>8.2365745457693235E-2</v>
      </c>
      <c r="S306" s="87">
        <v>8.2435450469252894E-2</v>
      </c>
      <c r="T306" s="84">
        <v>8.4410427873277072E-2</v>
      </c>
      <c r="U306" s="87">
        <v>8.6333351016526547E-2</v>
      </c>
      <c r="V306" s="87">
        <v>8.8206893557239263E-2</v>
      </c>
      <c r="W306" s="87">
        <v>9.0033528310542885E-2</v>
      </c>
      <c r="X306" s="87">
        <v>9.1815546874265228E-2</v>
      </c>
      <c r="Y306" s="87">
        <v>9.3666929945199526E-2</v>
      </c>
      <c r="Z306" s="87">
        <v>9.5472494765297858E-2</v>
      </c>
      <c r="AA306" s="87">
        <v>9.7234454504146209E-2</v>
      </c>
      <c r="AB306" s="87">
        <v>9.8954865750711593E-2</v>
      </c>
      <c r="AC306" s="87">
        <v>0.10063564294433185</v>
      </c>
      <c r="AD306" s="87">
        <v>0.10231365304629186</v>
      </c>
      <c r="AE306" s="87">
        <v>0.10395393731760849</v>
      </c>
      <c r="AF306" s="87">
        <v>0.10555815486631487</v>
      </c>
      <c r="AG306" s="87">
        <v>0.10712785770467832</v>
      </c>
      <c r="AH306" s="87">
        <v>0.108664499772788</v>
      </c>
      <c r="AI306" s="87">
        <v>0.11102668028735753</v>
      </c>
      <c r="AJ306" s="87">
        <v>0.11130114905959694</v>
      </c>
      <c r="AK306" s="87">
        <v>0.1114111940500023</v>
      </c>
      <c r="AL306" s="87">
        <v>0.11099241926297493</v>
      </c>
      <c r="AM306" s="87">
        <v>0.11132616247404487</v>
      </c>
      <c r="AN306" s="87">
        <v>0.11151482751584424</v>
      </c>
      <c r="AO306" s="87">
        <v>0.11201889756925659</v>
      </c>
      <c r="AP306" s="87">
        <v>0.11358855379898984</v>
      </c>
      <c r="AQ306" s="87">
        <v>0.11248482875773348</v>
      </c>
      <c r="AR306" s="87">
        <v>0.11358633647005378</v>
      </c>
      <c r="AS306" s="87">
        <v>0.11419287288180388</v>
      </c>
      <c r="AT306" s="87">
        <v>0.11398239624071162</v>
      </c>
      <c r="AU306" s="87">
        <v>0.1120440805847355</v>
      </c>
      <c r="AV306" s="87">
        <v>0.11333077486928685</v>
      </c>
      <c r="AW306" s="87">
        <v>0.11505744649932406</v>
      </c>
      <c r="AX306" s="87">
        <v>0.11584943461976704</v>
      </c>
      <c r="AY306" s="87">
        <v>0.11671646733823322</v>
      </c>
      <c r="AZ306" s="87">
        <v>0.11925667804092364</v>
      </c>
      <c r="BA306" s="87">
        <v>0.12120247274884542</v>
      </c>
      <c r="BB306" s="87">
        <v>0.11965387088148896</v>
      </c>
      <c r="BC306" s="87"/>
      <c r="BD306" s="87"/>
      <c r="BE306" s="87"/>
      <c r="BF306" s="87"/>
      <c r="BG306" s="87"/>
      <c r="BH306" s="87"/>
      <c r="BI306" s="87"/>
      <c r="BJ306" s="87"/>
      <c r="BK306" s="140"/>
    </row>
    <row r="307" spans="1:63" ht="17.25" customHeight="1">
      <c r="B307" s="46" t="s">
        <v>383</v>
      </c>
    </row>
    <row r="308" spans="1:63">
      <c r="B308" s="38" t="s">
        <v>384</v>
      </c>
    </row>
    <row r="310" spans="1:63" ht="15.6">
      <c r="A310" s="311" t="s">
        <v>385</v>
      </c>
      <c r="B310" s="311"/>
      <c r="C310" s="311"/>
      <c r="D310" s="311"/>
      <c r="E310" s="311"/>
      <c r="F310" s="311"/>
      <c r="G310" s="311"/>
      <c r="H310" s="311"/>
      <c r="I310" s="311"/>
      <c r="J310" s="311"/>
      <c r="K310" s="311"/>
      <c r="L310" s="311"/>
      <c r="M310" s="311"/>
      <c r="N310" s="311"/>
    </row>
    <row r="311" spans="1:63">
      <c r="A311" s="56" t="s">
        <v>386</v>
      </c>
      <c r="C311" s="57"/>
      <c r="D311" s="58"/>
      <c r="E311" s="57"/>
      <c r="F311" s="58"/>
      <c r="G311" s="58"/>
      <c r="H311" s="59"/>
      <c r="I311" s="57"/>
      <c r="J311" s="59"/>
      <c r="K311" s="57"/>
      <c r="L311" s="60" t="s">
        <v>387</v>
      </c>
    </row>
    <row r="312" spans="1:63">
      <c r="A312" s="141"/>
      <c r="B312" s="142" t="s">
        <v>388</v>
      </c>
      <c r="C312" s="143"/>
      <c r="D312" s="144" t="s">
        <v>389</v>
      </c>
      <c r="E312" s="143"/>
      <c r="F312" s="144" t="s">
        <v>390</v>
      </c>
      <c r="G312" s="144"/>
      <c r="H312" s="145"/>
      <c r="I312" s="143"/>
      <c r="J312" s="145"/>
      <c r="K312" s="143"/>
      <c r="L312" s="145"/>
    </row>
    <row r="313" spans="1:63">
      <c r="A313" s="146" t="s">
        <v>7</v>
      </c>
      <c r="B313" s="147" t="s">
        <v>391</v>
      </c>
      <c r="C313" s="148"/>
      <c r="D313" s="147" t="s">
        <v>392</v>
      </c>
      <c r="E313" s="148"/>
      <c r="F313" s="147" t="s">
        <v>392</v>
      </c>
      <c r="G313" s="148"/>
      <c r="H313" s="149" t="s">
        <v>388</v>
      </c>
      <c r="I313" s="150"/>
      <c r="J313" s="149" t="s">
        <v>389</v>
      </c>
      <c r="K313" s="150"/>
      <c r="L313" s="149" t="s">
        <v>390</v>
      </c>
    </row>
    <row r="314" spans="1:63">
      <c r="A314" s="151" t="s">
        <v>393</v>
      </c>
      <c r="B314" s="152">
        <v>132</v>
      </c>
      <c r="C314" s="152"/>
      <c r="D314" s="153">
        <v>1704</v>
      </c>
      <c r="E314" s="153"/>
      <c r="F314" s="153">
        <v>21554</v>
      </c>
      <c r="G314" s="152"/>
      <c r="H314" s="154">
        <v>100</v>
      </c>
      <c r="I314" s="154"/>
      <c r="J314" s="154">
        <v>100</v>
      </c>
      <c r="K314" s="154"/>
      <c r="L314" s="154">
        <v>100</v>
      </c>
      <c r="N314" s="80">
        <f>1000*B314/D314</f>
        <v>77.464788732394368</v>
      </c>
    </row>
    <row r="315" spans="1:63" ht="16.2">
      <c r="A315" s="151" t="s">
        <v>394</v>
      </c>
      <c r="B315" s="152">
        <v>131</v>
      </c>
      <c r="C315" s="152"/>
      <c r="D315" s="153">
        <v>1645</v>
      </c>
      <c r="E315" s="153"/>
      <c r="F315" s="153">
        <v>21120</v>
      </c>
      <c r="G315" s="155"/>
      <c r="H315" s="154">
        <v>99</v>
      </c>
      <c r="I315" s="154"/>
      <c r="J315" s="154">
        <v>97</v>
      </c>
      <c r="K315" s="154"/>
      <c r="L315" s="154">
        <v>98</v>
      </c>
      <c r="N315" s="80">
        <f t="shared" ref="N315:N334" si="314">1000*B315/D315</f>
        <v>79.635258358662611</v>
      </c>
    </row>
    <row r="316" spans="1:63" ht="16.2">
      <c r="A316" s="151" t="s">
        <v>395</v>
      </c>
      <c r="B316" s="152">
        <v>125</v>
      </c>
      <c r="C316" s="152"/>
      <c r="D316" s="153">
        <v>1505</v>
      </c>
      <c r="E316" s="153"/>
      <c r="F316" s="153">
        <v>20465</v>
      </c>
      <c r="G316" s="155"/>
      <c r="H316" s="154">
        <v>94</v>
      </c>
      <c r="I316" s="154"/>
      <c r="J316" s="154">
        <v>88</v>
      </c>
      <c r="K316" s="154"/>
      <c r="L316" s="154">
        <v>95</v>
      </c>
      <c r="N316" s="80">
        <f t="shared" si="314"/>
        <v>83.056478405315616</v>
      </c>
    </row>
    <row r="317" spans="1:63" ht="16.2">
      <c r="A317" s="151" t="s">
        <v>396</v>
      </c>
      <c r="B317" s="152">
        <v>121</v>
      </c>
      <c r="C317" s="152"/>
      <c r="D317" s="153">
        <v>1463</v>
      </c>
      <c r="E317" s="153"/>
      <c r="F317" s="153">
        <v>19953</v>
      </c>
      <c r="G317" s="155"/>
      <c r="H317" s="154">
        <v>92</v>
      </c>
      <c r="I317" s="154"/>
      <c r="J317" s="154">
        <v>86</v>
      </c>
      <c r="K317" s="154"/>
      <c r="L317" s="154">
        <v>93</v>
      </c>
      <c r="N317" s="80">
        <f t="shared" si="314"/>
        <v>82.706766917293237</v>
      </c>
    </row>
    <row r="318" spans="1:63" ht="16.2">
      <c r="A318" s="151" t="s">
        <v>397</v>
      </c>
      <c r="B318" s="152">
        <v>129</v>
      </c>
      <c r="C318" s="152"/>
      <c r="D318" s="153">
        <v>1523</v>
      </c>
      <c r="E318" s="153"/>
      <c r="F318" s="153">
        <v>20584</v>
      </c>
      <c r="G318" s="155"/>
      <c r="H318" s="154">
        <v>97</v>
      </c>
      <c r="I318" s="154"/>
      <c r="J318" s="154">
        <v>89</v>
      </c>
      <c r="K318" s="154"/>
      <c r="L318" s="154">
        <v>95</v>
      </c>
      <c r="N318" s="80">
        <f t="shared" si="314"/>
        <v>84.701247537754426</v>
      </c>
    </row>
    <row r="319" spans="1:63" ht="16.2">
      <c r="A319" s="151" t="s">
        <v>398</v>
      </c>
      <c r="B319" s="152">
        <v>138</v>
      </c>
      <c r="C319" s="152"/>
      <c r="D319" s="153">
        <v>1597</v>
      </c>
      <c r="E319" s="153"/>
      <c r="F319" s="153">
        <v>22123</v>
      </c>
      <c r="G319" s="155"/>
      <c r="H319" s="154">
        <v>104</v>
      </c>
      <c r="I319" s="154"/>
      <c r="J319" s="154">
        <v>94</v>
      </c>
      <c r="K319" s="154"/>
      <c r="L319" s="154">
        <v>103</v>
      </c>
      <c r="N319" s="80">
        <f t="shared" si="314"/>
        <v>86.412022542266754</v>
      </c>
    </row>
    <row r="320" spans="1:63" ht="16.2">
      <c r="A320" s="151">
        <v>1995</v>
      </c>
      <c r="B320" s="152">
        <v>144</v>
      </c>
      <c r="C320" s="152"/>
      <c r="D320" s="153">
        <v>1609</v>
      </c>
      <c r="E320" s="153"/>
      <c r="F320" s="153">
        <v>22190</v>
      </c>
      <c r="G320" s="155"/>
      <c r="H320" s="154">
        <v>109</v>
      </c>
      <c r="I320" s="154"/>
      <c r="J320" s="154">
        <v>94</v>
      </c>
      <c r="K320" s="154"/>
      <c r="L320" s="154">
        <v>103</v>
      </c>
      <c r="N320" s="80">
        <f t="shared" si="314"/>
        <v>89.496581727781233</v>
      </c>
    </row>
    <row r="321" spans="1:14" ht="16.2">
      <c r="A321" s="151">
        <v>1996</v>
      </c>
      <c r="B321" s="152">
        <v>147</v>
      </c>
      <c r="C321" s="152"/>
      <c r="D321" s="153">
        <v>1628</v>
      </c>
      <c r="E321" s="153"/>
      <c r="F321" s="153">
        <v>22666</v>
      </c>
      <c r="G321" s="155"/>
      <c r="H321" s="154">
        <v>111</v>
      </c>
      <c r="I321" s="154"/>
      <c r="J321" s="154">
        <v>96</v>
      </c>
      <c r="K321" s="154"/>
      <c r="L321" s="154">
        <v>105</v>
      </c>
      <c r="N321" s="80">
        <f t="shared" si="314"/>
        <v>90.294840294840299</v>
      </c>
    </row>
    <row r="322" spans="1:14" ht="16.2">
      <c r="A322" s="151">
        <v>1997</v>
      </c>
      <c r="B322" s="152">
        <v>150</v>
      </c>
      <c r="C322" s="152"/>
      <c r="D322" s="153">
        <v>1643</v>
      </c>
      <c r="E322" s="153"/>
      <c r="F322" s="153">
        <v>23111</v>
      </c>
      <c r="G322" s="155"/>
      <c r="H322" s="154">
        <v>113</v>
      </c>
      <c r="I322" s="154"/>
      <c r="J322" s="154">
        <v>96</v>
      </c>
      <c r="K322" s="154"/>
      <c r="L322" s="154">
        <v>107</v>
      </c>
      <c r="N322" s="80">
        <f t="shared" si="314"/>
        <v>91.296409007912359</v>
      </c>
    </row>
    <row r="323" spans="1:14" ht="16.2">
      <c r="A323" s="151">
        <v>1998</v>
      </c>
      <c r="B323" s="152">
        <v>152</v>
      </c>
      <c r="C323" s="152"/>
      <c r="D323" s="153">
        <v>1630</v>
      </c>
      <c r="E323" s="153"/>
      <c r="F323" s="153">
        <v>23323</v>
      </c>
      <c r="G323" s="155"/>
      <c r="H323" s="154">
        <v>115</v>
      </c>
      <c r="I323" s="154"/>
      <c r="J323" s="154">
        <v>96</v>
      </c>
      <c r="K323" s="154"/>
      <c r="L323" s="154">
        <v>108</v>
      </c>
      <c r="N323" s="80">
        <f t="shared" si="314"/>
        <v>93.25153374233129</v>
      </c>
    </row>
    <row r="324" spans="1:14" ht="16.2">
      <c r="A324" s="151">
        <v>1999</v>
      </c>
      <c r="B324" s="152">
        <v>149</v>
      </c>
      <c r="C324" s="152"/>
      <c r="D324" s="153">
        <v>1567</v>
      </c>
      <c r="E324" s="153"/>
      <c r="F324" s="153">
        <v>23091</v>
      </c>
      <c r="G324" s="155"/>
      <c r="H324" s="154">
        <v>113</v>
      </c>
      <c r="I324" s="154"/>
      <c r="J324" s="154">
        <v>92</v>
      </c>
      <c r="K324" s="154"/>
      <c r="L324" s="154">
        <v>107</v>
      </c>
      <c r="N324" s="80">
        <f t="shared" si="314"/>
        <v>95.086151882578179</v>
      </c>
    </row>
    <row r="325" spans="1:14" ht="16.2">
      <c r="A325" s="151">
        <v>2000</v>
      </c>
      <c r="B325" s="152">
        <v>150</v>
      </c>
      <c r="C325" s="152"/>
      <c r="D325" s="153">
        <v>1593</v>
      </c>
      <c r="E325" s="153"/>
      <c r="F325" s="153">
        <v>22990</v>
      </c>
      <c r="G325" s="155"/>
      <c r="H325" s="154">
        <v>114</v>
      </c>
      <c r="I325" s="154"/>
      <c r="J325" s="154">
        <v>93</v>
      </c>
      <c r="K325" s="154"/>
      <c r="L325" s="154">
        <v>107</v>
      </c>
      <c r="N325" s="80">
        <f t="shared" si="314"/>
        <v>94.161958568738228</v>
      </c>
    </row>
    <row r="326" spans="1:14" ht="16.2">
      <c r="A326" s="151">
        <v>2001</v>
      </c>
      <c r="B326" s="152">
        <v>149</v>
      </c>
      <c r="C326" s="152"/>
      <c r="D326" s="153">
        <v>1581</v>
      </c>
      <c r="E326" s="153"/>
      <c r="F326" s="153">
        <v>22207</v>
      </c>
      <c r="G326" s="155"/>
      <c r="H326" s="154">
        <v>113</v>
      </c>
      <c r="I326" s="154"/>
      <c r="J326" s="154">
        <v>93</v>
      </c>
      <c r="K326" s="154"/>
      <c r="L326" s="154">
        <v>103</v>
      </c>
      <c r="N326" s="80">
        <f t="shared" si="314"/>
        <v>94.244149272612276</v>
      </c>
    </row>
    <row r="327" spans="1:14" ht="16.2">
      <c r="A327" s="151">
        <v>2002</v>
      </c>
      <c r="B327" s="152">
        <v>150</v>
      </c>
      <c r="C327" s="152"/>
      <c r="D327" s="153">
        <v>1627</v>
      </c>
      <c r="E327" s="153"/>
      <c r="F327" s="153">
        <v>22159</v>
      </c>
      <c r="G327" s="155"/>
      <c r="H327" s="154">
        <v>113</v>
      </c>
      <c r="I327" s="154"/>
      <c r="J327" s="154">
        <v>95</v>
      </c>
      <c r="K327" s="154"/>
      <c r="L327" s="154">
        <v>103</v>
      </c>
      <c r="N327" s="80">
        <f t="shared" si="314"/>
        <v>92.194222495390292</v>
      </c>
    </row>
    <row r="328" spans="1:14" ht="16.2">
      <c r="A328" s="151">
        <v>2003</v>
      </c>
      <c r="B328" s="152">
        <v>152</v>
      </c>
      <c r="C328" s="152"/>
      <c r="D328" s="153">
        <v>1643</v>
      </c>
      <c r="E328" s="153"/>
      <c r="F328" s="153">
        <v>22167</v>
      </c>
      <c r="G328" s="155"/>
      <c r="H328" s="154">
        <v>115</v>
      </c>
      <c r="I328" s="154"/>
      <c r="J328" s="154">
        <v>96</v>
      </c>
      <c r="K328" s="154"/>
      <c r="L328" s="154">
        <v>103</v>
      </c>
      <c r="N328" s="80">
        <f t="shared" si="314"/>
        <v>92.513694461351193</v>
      </c>
    </row>
    <row r="329" spans="1:14">
      <c r="A329" s="151">
        <v>2004</v>
      </c>
      <c r="B329" s="152">
        <v>152</v>
      </c>
      <c r="C329" s="152"/>
      <c r="D329" s="153">
        <v>1744</v>
      </c>
      <c r="E329" s="153"/>
      <c r="F329" s="153">
        <v>22281</v>
      </c>
      <c r="G329" s="156" t="s">
        <v>399</v>
      </c>
      <c r="H329" s="154">
        <v>115</v>
      </c>
      <c r="I329" s="154"/>
      <c r="J329" s="154">
        <v>102</v>
      </c>
      <c r="K329" s="154"/>
      <c r="L329" s="154">
        <v>103</v>
      </c>
      <c r="N329" s="80">
        <f t="shared" si="314"/>
        <v>87.155963302752298</v>
      </c>
    </row>
    <row r="330" spans="1:14">
      <c r="A330" s="151">
        <v>2005</v>
      </c>
      <c r="B330" s="152">
        <v>153</v>
      </c>
      <c r="C330" s="152"/>
      <c r="D330" s="153">
        <v>1746</v>
      </c>
      <c r="E330" s="153"/>
      <c r="F330" s="153">
        <v>22232</v>
      </c>
      <c r="G330" s="156" t="s">
        <v>399</v>
      </c>
      <c r="H330" s="154">
        <v>115</v>
      </c>
      <c r="I330" s="154"/>
      <c r="J330" s="154">
        <v>102</v>
      </c>
      <c r="K330" s="154"/>
      <c r="L330" s="154">
        <v>103</v>
      </c>
      <c r="N330" s="80">
        <f t="shared" si="314"/>
        <v>87.628865979381445</v>
      </c>
    </row>
    <row r="331" spans="1:14" ht="16.2">
      <c r="A331" s="157">
        <v>2006</v>
      </c>
      <c r="B331" s="152">
        <v>156</v>
      </c>
      <c r="C331" s="152"/>
      <c r="D331" s="153">
        <v>1813</v>
      </c>
      <c r="E331" s="153"/>
      <c r="F331" s="153">
        <v>22289</v>
      </c>
      <c r="G331" s="155"/>
      <c r="H331" s="154">
        <v>118</v>
      </c>
      <c r="I331" s="154"/>
      <c r="J331" s="154">
        <v>106</v>
      </c>
      <c r="K331" s="154"/>
      <c r="L331" s="154">
        <v>103</v>
      </c>
      <c r="N331" s="80">
        <f t="shared" si="314"/>
        <v>86.045228902371761</v>
      </c>
    </row>
    <row r="332" spans="1:14">
      <c r="A332" s="157">
        <v>2007</v>
      </c>
      <c r="B332" s="152">
        <v>161</v>
      </c>
      <c r="C332" s="152"/>
      <c r="D332" s="153">
        <v>1869</v>
      </c>
      <c r="E332" s="153"/>
      <c r="F332" s="153">
        <v>22445</v>
      </c>
      <c r="G332" s="152"/>
      <c r="H332" s="154">
        <v>122</v>
      </c>
      <c r="I332" s="154"/>
      <c r="J332" s="154">
        <v>110</v>
      </c>
      <c r="K332" s="154"/>
      <c r="L332" s="154">
        <v>104</v>
      </c>
      <c r="N332" s="80">
        <f t="shared" si="314"/>
        <v>86.142322097378283</v>
      </c>
    </row>
    <row r="333" spans="1:14">
      <c r="A333" s="157">
        <v>2008</v>
      </c>
      <c r="B333" s="152">
        <v>152</v>
      </c>
      <c r="C333" s="152"/>
      <c r="D333" s="153">
        <v>1734</v>
      </c>
      <c r="E333" s="153"/>
      <c r="F333" s="153">
        <v>21171</v>
      </c>
      <c r="G333" s="152"/>
      <c r="H333" s="154">
        <v>115</v>
      </c>
      <c r="I333" s="154"/>
      <c r="J333" s="154">
        <v>102</v>
      </c>
      <c r="K333" s="154"/>
      <c r="L333" s="154">
        <v>98</v>
      </c>
      <c r="N333" s="80">
        <f t="shared" si="314"/>
        <v>87.658592848904263</v>
      </c>
    </row>
    <row r="334" spans="1:14">
      <c r="A334" s="158">
        <v>2009</v>
      </c>
      <c r="B334" s="152">
        <v>132</v>
      </c>
      <c r="C334" s="152"/>
      <c r="D334" s="153">
        <v>1422</v>
      </c>
      <c r="E334" s="153"/>
      <c r="F334" s="153">
        <v>18846</v>
      </c>
      <c r="G334" s="152"/>
      <c r="H334" s="154">
        <v>100</v>
      </c>
      <c r="I334" s="154"/>
      <c r="J334" s="154">
        <v>83</v>
      </c>
      <c r="K334" s="154"/>
      <c r="L334" s="154">
        <v>87</v>
      </c>
      <c r="N334" s="80">
        <f t="shared" si="314"/>
        <v>92.827004219409289</v>
      </c>
    </row>
    <row r="348" spans="1:12" ht="15.6">
      <c r="A348" s="159" t="s">
        <v>400</v>
      </c>
      <c r="B348" s="160"/>
      <c r="C348" s="160"/>
      <c r="D348" s="160"/>
      <c r="E348" s="160"/>
      <c r="F348" s="160"/>
      <c r="G348" s="160"/>
      <c r="H348" s="160"/>
      <c r="I348" s="160"/>
      <c r="J348" s="160"/>
      <c r="K348" s="160"/>
      <c r="L348" s="160"/>
    </row>
    <row r="349" spans="1:12">
      <c r="A349" s="310" t="s">
        <v>401</v>
      </c>
      <c r="B349" s="310"/>
      <c r="C349" s="310"/>
      <c r="D349" s="310"/>
      <c r="E349" s="310"/>
      <c r="F349" s="310"/>
      <c r="G349" s="310"/>
      <c r="H349" s="310"/>
      <c r="I349" s="310"/>
      <c r="J349" s="310"/>
      <c r="K349" s="310"/>
      <c r="L349" s="310"/>
    </row>
    <row r="350" spans="1:12" ht="15.6">
      <c r="A350" s="161" t="s">
        <v>402</v>
      </c>
      <c r="B350" s="160"/>
      <c r="C350" s="160"/>
      <c r="D350" s="160"/>
      <c r="E350" s="160"/>
      <c r="F350" s="160"/>
      <c r="G350" s="160"/>
      <c r="H350" s="160"/>
      <c r="I350" s="160"/>
      <c r="J350" s="160"/>
      <c r="K350" s="160"/>
      <c r="L350" s="160"/>
    </row>
    <row r="351" spans="1:12" ht="15.6">
      <c r="A351" s="161" t="s">
        <v>403</v>
      </c>
      <c r="B351" s="162"/>
      <c r="C351" s="162"/>
      <c r="D351" s="162"/>
      <c r="E351" s="163"/>
      <c r="F351" s="163"/>
      <c r="G351" s="163"/>
      <c r="H351" s="162"/>
      <c r="I351" s="162"/>
      <c r="J351" s="160"/>
      <c r="K351" s="160"/>
      <c r="L351" s="160"/>
    </row>
    <row r="352" spans="1:12" ht="15" thickBot="1">
      <c r="A352" s="164"/>
      <c r="B352" s="164"/>
      <c r="C352" s="165"/>
      <c r="D352" s="165"/>
      <c r="E352" s="165"/>
      <c r="F352" s="165"/>
      <c r="G352" s="165"/>
      <c r="H352" s="166"/>
      <c r="I352" s="167" t="s">
        <v>404</v>
      </c>
      <c r="J352" s="168"/>
      <c r="K352" s="168"/>
      <c r="L352" s="168"/>
    </row>
    <row r="353" spans="1:12">
      <c r="A353" s="169"/>
      <c r="B353" s="169"/>
      <c r="C353" s="170"/>
      <c r="D353" s="170"/>
      <c r="E353" s="170"/>
      <c r="F353" s="312" t="s">
        <v>405</v>
      </c>
      <c r="G353" s="312"/>
      <c r="H353" s="312"/>
      <c r="I353" s="170"/>
      <c r="J353" s="168"/>
      <c r="K353" s="168"/>
      <c r="L353" s="168"/>
    </row>
    <row r="354" spans="1:12" ht="69.599999999999994" thickBot="1">
      <c r="A354" s="171"/>
      <c r="B354" s="172"/>
      <c r="C354" s="173" t="s">
        <v>406</v>
      </c>
      <c r="D354" s="173" t="s">
        <v>407</v>
      </c>
      <c r="E354" s="173" t="s">
        <v>408</v>
      </c>
      <c r="F354" s="173" t="s">
        <v>318</v>
      </c>
      <c r="G354" s="173" t="s">
        <v>319</v>
      </c>
      <c r="H354" s="172" t="s">
        <v>409</v>
      </c>
      <c r="I354" s="173" t="s">
        <v>410</v>
      </c>
      <c r="J354" s="168"/>
      <c r="K354" s="168"/>
      <c r="L354" s="168"/>
    </row>
    <row r="355" spans="1:12">
      <c r="A355" s="174" t="s">
        <v>411</v>
      </c>
      <c r="B355" s="175"/>
      <c r="C355" s="176">
        <v>12.6</v>
      </c>
      <c r="D355" s="176">
        <v>4</v>
      </c>
      <c r="E355" s="176">
        <v>7.8</v>
      </c>
      <c r="F355" s="176">
        <v>1.9</v>
      </c>
      <c r="G355" s="176">
        <v>2.5</v>
      </c>
      <c r="H355" s="176">
        <v>4.5</v>
      </c>
      <c r="I355" s="177">
        <v>28.9</v>
      </c>
      <c r="J355" s="178"/>
      <c r="K355" s="178"/>
      <c r="L355" s="178"/>
    </row>
    <row r="356" spans="1:12">
      <c r="A356" s="174" t="s">
        <v>412</v>
      </c>
      <c r="B356" s="175"/>
      <c r="C356" s="176">
        <v>15.9</v>
      </c>
      <c r="D356" s="176">
        <v>4.8</v>
      </c>
      <c r="E356" s="176">
        <v>7</v>
      </c>
      <c r="F356" s="176">
        <v>2.7</v>
      </c>
      <c r="G356" s="176">
        <v>2.5</v>
      </c>
      <c r="H356" s="176">
        <v>5.3</v>
      </c>
      <c r="I356" s="177">
        <v>33</v>
      </c>
      <c r="J356" s="178"/>
      <c r="K356" s="178"/>
      <c r="L356" s="178"/>
    </row>
    <row r="357" spans="1:12">
      <c r="A357" s="174" t="s">
        <v>413</v>
      </c>
      <c r="B357" s="175"/>
      <c r="C357" s="176">
        <v>18.2</v>
      </c>
      <c r="D357" s="176">
        <v>5.0999999999999996</v>
      </c>
      <c r="E357" s="176">
        <v>7.3</v>
      </c>
      <c r="F357" s="176">
        <v>3.5</v>
      </c>
      <c r="G357" s="176">
        <v>2.6</v>
      </c>
      <c r="H357" s="176">
        <v>6.1</v>
      </c>
      <c r="I357" s="177">
        <v>36.700000000000003</v>
      </c>
      <c r="J357" s="178"/>
      <c r="K357" s="178"/>
      <c r="L357" s="178"/>
    </row>
    <row r="358" spans="1:12">
      <c r="A358" s="174" t="s">
        <v>414</v>
      </c>
      <c r="B358" s="175"/>
      <c r="C358" s="176">
        <v>19</v>
      </c>
      <c r="D358" s="176">
        <v>5.4</v>
      </c>
      <c r="E358" s="176">
        <v>7</v>
      </c>
      <c r="F358" s="176">
        <v>3.7</v>
      </c>
      <c r="G358" s="176">
        <v>2.6</v>
      </c>
      <c r="H358" s="176">
        <v>6.3</v>
      </c>
      <c r="I358" s="177">
        <v>37.799999999999997</v>
      </c>
      <c r="J358" s="178"/>
      <c r="K358" s="178"/>
      <c r="L358" s="178"/>
    </row>
    <row r="359" spans="1:12">
      <c r="A359" s="174" t="s">
        <v>415</v>
      </c>
      <c r="B359" s="175"/>
      <c r="C359" s="176">
        <v>20.8</v>
      </c>
      <c r="D359" s="176">
        <v>5.7</v>
      </c>
      <c r="E359" s="176">
        <v>7.1</v>
      </c>
      <c r="F359" s="176">
        <v>4.2</v>
      </c>
      <c r="G359" s="176">
        <v>2.6</v>
      </c>
      <c r="H359" s="176">
        <v>6.8</v>
      </c>
      <c r="I359" s="177">
        <v>40.299999999999997</v>
      </c>
      <c r="J359" s="178"/>
      <c r="K359" s="178"/>
      <c r="L359" s="178"/>
    </row>
    <row r="360" spans="1:12">
      <c r="A360" s="174" t="s">
        <v>416</v>
      </c>
      <c r="B360" s="175"/>
      <c r="C360" s="176">
        <v>23.1</v>
      </c>
      <c r="D360" s="176">
        <v>5.8</v>
      </c>
      <c r="E360" s="176">
        <v>7.6</v>
      </c>
      <c r="F360" s="176">
        <v>4.3</v>
      </c>
      <c r="G360" s="176">
        <v>2.6</v>
      </c>
      <c r="H360" s="176">
        <v>6.9</v>
      </c>
      <c r="I360" s="177">
        <v>43.4</v>
      </c>
      <c r="J360" s="178"/>
      <c r="K360" s="178"/>
      <c r="L360" s="178"/>
    </row>
    <row r="361" spans="1:12">
      <c r="A361" s="174" t="s">
        <v>417</v>
      </c>
      <c r="B361" s="175"/>
      <c r="C361" s="176">
        <v>26.3</v>
      </c>
      <c r="D361" s="176">
        <v>6.1</v>
      </c>
      <c r="E361" s="176">
        <v>8.1999999999999993</v>
      </c>
      <c r="F361" s="176">
        <v>4.7</v>
      </c>
      <c r="G361" s="176">
        <v>2.6</v>
      </c>
      <c r="H361" s="176">
        <v>7.3</v>
      </c>
      <c r="I361" s="177">
        <v>47.8</v>
      </c>
      <c r="J361" s="178"/>
      <c r="K361" s="178"/>
      <c r="L361" s="178"/>
    </row>
    <row r="362" spans="1:12">
      <c r="A362" s="174" t="s">
        <v>418</v>
      </c>
      <c r="B362" s="175"/>
      <c r="C362" s="176">
        <v>28.7</v>
      </c>
      <c r="D362" s="176">
        <v>6.2</v>
      </c>
      <c r="E362" s="176">
        <v>8.1</v>
      </c>
      <c r="F362" s="176">
        <v>4.5999999999999996</v>
      </c>
      <c r="G362" s="176">
        <v>2.6</v>
      </c>
      <c r="H362" s="176">
        <v>7.2</v>
      </c>
      <c r="I362" s="177">
        <v>50.2</v>
      </c>
      <c r="J362" s="178"/>
      <c r="K362" s="178"/>
      <c r="L362" s="178"/>
    </row>
    <row r="363" spans="1:12">
      <c r="A363" s="174" t="s">
        <v>419</v>
      </c>
      <c r="B363" s="175"/>
      <c r="C363" s="176">
        <v>28.1</v>
      </c>
      <c r="D363" s="176">
        <v>6.4</v>
      </c>
      <c r="E363" s="176">
        <v>7.8</v>
      </c>
      <c r="F363" s="176">
        <v>5.2</v>
      </c>
      <c r="G363" s="176">
        <v>2.5</v>
      </c>
      <c r="H363" s="176">
        <v>7.6</v>
      </c>
      <c r="I363" s="177">
        <v>49.9</v>
      </c>
      <c r="J363" s="178"/>
      <c r="K363" s="178"/>
      <c r="L363" s="178"/>
    </row>
    <row r="364" spans="1:12">
      <c r="A364" s="174" t="s">
        <v>420</v>
      </c>
      <c r="B364" s="175"/>
      <c r="C364" s="176">
        <v>34.4</v>
      </c>
      <c r="D364" s="176">
        <v>7.4</v>
      </c>
      <c r="E364" s="176">
        <v>8.4</v>
      </c>
      <c r="F364" s="176">
        <v>5.2</v>
      </c>
      <c r="G364" s="176">
        <v>2.4</v>
      </c>
      <c r="H364" s="176">
        <v>7.6</v>
      </c>
      <c r="I364" s="177">
        <v>57.8</v>
      </c>
      <c r="J364" s="178"/>
      <c r="K364" s="178"/>
      <c r="L364" s="178"/>
    </row>
    <row r="365" spans="1:12">
      <c r="A365" s="174" t="s">
        <v>421</v>
      </c>
      <c r="B365" s="175"/>
      <c r="C365" s="176">
        <v>38.6</v>
      </c>
      <c r="D365" s="176">
        <v>8.5</v>
      </c>
      <c r="E365" s="176">
        <v>9.1</v>
      </c>
      <c r="F365" s="176">
        <v>6.1</v>
      </c>
      <c r="G365" s="176">
        <v>2.5</v>
      </c>
      <c r="H365" s="176">
        <v>8.6</v>
      </c>
      <c r="I365" s="177">
        <v>64.8</v>
      </c>
      <c r="J365" s="178"/>
      <c r="K365" s="178"/>
      <c r="L365" s="178"/>
    </row>
    <row r="366" spans="1:12">
      <c r="A366" s="174" t="s">
        <v>422</v>
      </c>
      <c r="B366" s="175"/>
      <c r="C366" s="176">
        <v>42.3</v>
      </c>
      <c r="D366" s="176">
        <v>9.3000000000000007</v>
      </c>
      <c r="E366" s="176">
        <v>9.5</v>
      </c>
      <c r="F366" s="176">
        <v>6.2</v>
      </c>
      <c r="G366" s="176">
        <v>2.4</v>
      </c>
      <c r="H366" s="176">
        <v>8.6</v>
      </c>
      <c r="I366" s="177">
        <v>69.7</v>
      </c>
      <c r="J366" s="178"/>
      <c r="K366" s="178"/>
      <c r="L366" s="178"/>
    </row>
    <row r="367" spans="1:12">
      <c r="A367" s="174" t="s">
        <v>423</v>
      </c>
      <c r="B367" s="175"/>
      <c r="C367" s="176">
        <v>47.8</v>
      </c>
      <c r="D367" s="176">
        <v>10.199999999999999</v>
      </c>
      <c r="E367" s="176">
        <v>9.6</v>
      </c>
      <c r="F367" s="176">
        <v>6</v>
      </c>
      <c r="G367" s="176">
        <v>2.5</v>
      </c>
      <c r="H367" s="176">
        <v>8.5</v>
      </c>
      <c r="I367" s="177">
        <v>76.099999999999994</v>
      </c>
      <c r="J367" s="178"/>
      <c r="K367" s="178"/>
      <c r="L367" s="178"/>
    </row>
    <row r="368" spans="1:12">
      <c r="A368" s="174" t="s">
        <v>424</v>
      </c>
      <c r="B368" s="175"/>
      <c r="C368" s="176">
        <v>52</v>
      </c>
      <c r="D368" s="176">
        <v>10.3</v>
      </c>
      <c r="E368" s="176">
        <v>9.6</v>
      </c>
      <c r="F368" s="176">
        <v>5.4</v>
      </c>
      <c r="G368" s="176">
        <v>2.5</v>
      </c>
      <c r="H368" s="176">
        <v>7.9</v>
      </c>
      <c r="I368" s="177">
        <v>79.8</v>
      </c>
      <c r="J368" s="178"/>
      <c r="K368" s="178"/>
      <c r="L368" s="178"/>
    </row>
    <row r="369" spans="1:12">
      <c r="A369" s="174" t="s">
        <v>425</v>
      </c>
      <c r="B369" s="175"/>
      <c r="C369" s="176">
        <v>56.8</v>
      </c>
      <c r="D369" s="176">
        <v>10.9</v>
      </c>
      <c r="E369" s="176">
        <v>9.8000000000000007</v>
      </c>
      <c r="F369" s="176">
        <v>4.7</v>
      </c>
      <c r="G369" s="176">
        <v>2.5</v>
      </c>
      <c r="H369" s="176">
        <v>7.2</v>
      </c>
      <c r="I369" s="177">
        <v>84.7</v>
      </c>
      <c r="J369" s="178"/>
      <c r="K369" s="178"/>
      <c r="L369" s="178"/>
    </row>
    <row r="370" spans="1:12">
      <c r="A370" s="174" t="s">
        <v>426</v>
      </c>
      <c r="B370" s="175"/>
      <c r="C370" s="176">
        <v>65.7</v>
      </c>
      <c r="D370" s="176">
        <v>11</v>
      </c>
      <c r="E370" s="176">
        <v>10.8</v>
      </c>
      <c r="F370" s="176">
        <v>4.7</v>
      </c>
      <c r="G370" s="176">
        <v>2.5</v>
      </c>
      <c r="H370" s="176">
        <v>7.1</v>
      </c>
      <c r="I370" s="177">
        <v>94.6</v>
      </c>
      <c r="J370" s="178"/>
      <c r="K370" s="178"/>
      <c r="L370" s="178"/>
    </row>
    <row r="371" spans="1:12">
      <c r="A371" s="174" t="s">
        <v>427</v>
      </c>
      <c r="B371" s="175"/>
      <c r="C371" s="176">
        <v>72</v>
      </c>
      <c r="D371" s="176">
        <v>11.8</v>
      </c>
      <c r="E371" s="176">
        <v>10.7</v>
      </c>
      <c r="F371" s="176">
        <v>4.2</v>
      </c>
      <c r="G371" s="176">
        <v>2.4</v>
      </c>
      <c r="H371" s="176">
        <v>6.6</v>
      </c>
      <c r="I371" s="177">
        <v>101.1</v>
      </c>
      <c r="J371" s="178"/>
      <c r="K371" s="178"/>
      <c r="L371" s="178"/>
    </row>
    <row r="372" spans="1:12">
      <c r="A372" s="174" t="s">
        <v>428</v>
      </c>
      <c r="B372" s="175"/>
      <c r="C372" s="176">
        <v>78.599999999999994</v>
      </c>
      <c r="D372" s="176">
        <v>11.8</v>
      </c>
      <c r="E372" s="176">
        <v>10.9</v>
      </c>
      <c r="F372" s="176">
        <v>3.7</v>
      </c>
      <c r="G372" s="176">
        <v>2.4</v>
      </c>
      <c r="H372" s="176">
        <v>6.2</v>
      </c>
      <c r="I372" s="177">
        <v>107.4</v>
      </c>
      <c r="J372" s="178"/>
      <c r="K372" s="178"/>
      <c r="L372" s="178"/>
    </row>
    <row r="373" spans="1:12">
      <c r="A373" s="174" t="s">
        <v>429</v>
      </c>
      <c r="B373" s="175"/>
      <c r="C373" s="176">
        <v>83.9</v>
      </c>
      <c r="D373" s="176">
        <v>11.6</v>
      </c>
      <c r="E373" s="176">
        <v>10.7</v>
      </c>
      <c r="F373" s="176">
        <v>3.2</v>
      </c>
      <c r="G373" s="176">
        <v>2.4</v>
      </c>
      <c r="H373" s="176">
        <v>5.6</v>
      </c>
      <c r="I373" s="177">
        <v>111.8</v>
      </c>
      <c r="J373" s="178"/>
      <c r="K373" s="178"/>
      <c r="L373" s="178"/>
    </row>
    <row r="374" spans="1:12">
      <c r="A374" s="174" t="s">
        <v>430</v>
      </c>
      <c r="B374" s="175"/>
      <c r="C374" s="176">
        <v>88.7</v>
      </c>
      <c r="D374" s="176">
        <v>11.7</v>
      </c>
      <c r="E374" s="176">
        <v>10.9</v>
      </c>
      <c r="F374" s="176">
        <v>2.9</v>
      </c>
      <c r="G374" s="176">
        <v>2.4</v>
      </c>
      <c r="H374" s="176">
        <v>5.3</v>
      </c>
      <c r="I374" s="177">
        <v>116.6</v>
      </c>
      <c r="J374" s="178"/>
      <c r="K374" s="178"/>
      <c r="L374" s="178"/>
    </row>
    <row r="375" spans="1:12">
      <c r="A375" s="174" t="s">
        <v>431</v>
      </c>
      <c r="B375" s="175"/>
      <c r="C375" s="176">
        <v>91.9</v>
      </c>
      <c r="D375" s="176">
        <v>12</v>
      </c>
      <c r="E375" s="176">
        <v>10.8</v>
      </c>
      <c r="F375" s="176">
        <v>2.6</v>
      </c>
      <c r="G375" s="176">
        <v>2.4</v>
      </c>
      <c r="H375" s="176">
        <v>5</v>
      </c>
      <c r="I375" s="177">
        <v>119.7</v>
      </c>
      <c r="J375" s="178"/>
      <c r="K375" s="178"/>
      <c r="L375" s="178"/>
    </row>
    <row r="376" spans="1:12">
      <c r="A376" s="174" t="s">
        <v>432</v>
      </c>
      <c r="B376" s="175"/>
      <c r="C376" s="176">
        <v>96.3</v>
      </c>
      <c r="D376" s="176">
        <v>12.6</v>
      </c>
      <c r="E376" s="176">
        <v>10.9</v>
      </c>
      <c r="F376" s="176">
        <v>2.5</v>
      </c>
      <c r="G376" s="176">
        <v>2.2000000000000002</v>
      </c>
      <c r="H376" s="176">
        <v>4.7</v>
      </c>
      <c r="I376" s="177">
        <v>124.6</v>
      </c>
      <c r="J376" s="178"/>
      <c r="K376" s="178"/>
      <c r="L376" s="178"/>
    </row>
    <row r="377" spans="1:12">
      <c r="A377" s="174" t="s">
        <v>433</v>
      </c>
      <c r="B377" s="175"/>
      <c r="C377" s="176">
        <v>102.6</v>
      </c>
      <c r="D377" s="176">
        <v>13.2</v>
      </c>
      <c r="E377" s="176">
        <v>11.2</v>
      </c>
      <c r="F377" s="176">
        <v>2.4</v>
      </c>
      <c r="G377" s="176">
        <v>2.2000000000000002</v>
      </c>
      <c r="H377" s="176">
        <v>4.7</v>
      </c>
      <c r="I377" s="177">
        <v>131.69999999999999</v>
      </c>
      <c r="J377" s="178"/>
      <c r="K377" s="178"/>
      <c r="L377" s="178"/>
    </row>
    <row r="378" spans="1:12">
      <c r="A378" s="174" t="s">
        <v>434</v>
      </c>
      <c r="B378" s="175"/>
      <c r="C378" s="176">
        <v>108.6</v>
      </c>
      <c r="D378" s="176">
        <v>13.8</v>
      </c>
      <c r="E378" s="176">
        <v>11.4</v>
      </c>
      <c r="F378" s="176">
        <v>2.2999999999999998</v>
      </c>
      <c r="G378" s="176">
        <v>2.2000000000000002</v>
      </c>
      <c r="H378" s="176">
        <v>4.5</v>
      </c>
      <c r="I378" s="177">
        <v>138.30000000000001</v>
      </c>
      <c r="J378" s="178"/>
      <c r="K378" s="178"/>
      <c r="L378" s="178"/>
    </row>
    <row r="379" spans="1:12">
      <c r="A379" s="174" t="s">
        <v>435</v>
      </c>
      <c r="B379" s="175"/>
      <c r="C379" s="176">
        <v>114.3</v>
      </c>
      <c r="D379" s="176">
        <v>14.5</v>
      </c>
      <c r="E379" s="176">
        <v>12</v>
      </c>
      <c r="F379" s="176">
        <v>2.4</v>
      </c>
      <c r="G379" s="176">
        <v>2.2000000000000002</v>
      </c>
      <c r="H379" s="176">
        <v>4.5999999999999996</v>
      </c>
      <c r="I379" s="177">
        <v>145.4</v>
      </c>
      <c r="J379" s="178"/>
      <c r="K379" s="178"/>
      <c r="L379" s="178"/>
    </row>
    <row r="380" spans="1:12">
      <c r="A380" s="174" t="s">
        <v>436</v>
      </c>
      <c r="B380" s="175"/>
      <c r="C380" s="176">
        <v>111.8</v>
      </c>
      <c r="D380" s="176">
        <v>14.7</v>
      </c>
      <c r="E380" s="176">
        <v>11.6</v>
      </c>
      <c r="F380" s="176">
        <v>2.6</v>
      </c>
      <c r="G380" s="176">
        <v>2.1</v>
      </c>
      <c r="H380" s="176">
        <v>4.7</v>
      </c>
      <c r="I380" s="177">
        <v>142.69999999999999</v>
      </c>
      <c r="J380" s="178"/>
      <c r="K380" s="178"/>
      <c r="L380" s="178"/>
    </row>
    <row r="381" spans="1:12">
      <c r="A381" s="174" t="s">
        <v>437</v>
      </c>
      <c r="B381" s="175"/>
      <c r="C381" s="176">
        <v>112.8</v>
      </c>
      <c r="D381" s="176">
        <v>14.6</v>
      </c>
      <c r="E381" s="176">
        <v>11.4</v>
      </c>
      <c r="F381" s="176">
        <v>3.2</v>
      </c>
      <c r="G381" s="176">
        <v>2</v>
      </c>
      <c r="H381" s="176">
        <v>5.2</v>
      </c>
      <c r="I381" s="177">
        <v>144</v>
      </c>
      <c r="J381" s="178"/>
      <c r="K381" s="178"/>
      <c r="L381" s="178"/>
    </row>
    <row r="382" spans="1:12">
      <c r="A382" s="174" t="s">
        <v>438</v>
      </c>
      <c r="B382" s="175"/>
      <c r="C382" s="176">
        <v>118.3</v>
      </c>
      <c r="D382" s="176">
        <v>15</v>
      </c>
      <c r="E382" s="176">
        <v>11.9</v>
      </c>
      <c r="F382" s="176">
        <v>3.9</v>
      </c>
      <c r="G382" s="176">
        <v>2.1</v>
      </c>
      <c r="H382" s="176">
        <v>6</v>
      </c>
      <c r="I382" s="177">
        <v>151.19999999999999</v>
      </c>
      <c r="J382" s="178"/>
      <c r="K382" s="178"/>
      <c r="L382" s="178"/>
    </row>
    <row r="383" spans="1:12">
      <c r="A383" s="174" t="s">
        <v>439</v>
      </c>
      <c r="B383" s="175"/>
      <c r="C383" s="176">
        <v>120.6</v>
      </c>
      <c r="D383" s="176">
        <v>15.2</v>
      </c>
      <c r="E383" s="176">
        <v>11.7</v>
      </c>
      <c r="F383" s="176">
        <v>3.9</v>
      </c>
      <c r="G383" s="176">
        <v>2</v>
      </c>
      <c r="H383" s="176">
        <v>5.8</v>
      </c>
      <c r="I383" s="177">
        <v>153.4</v>
      </c>
      <c r="J383" s="178"/>
      <c r="K383" s="178"/>
      <c r="L383" s="178"/>
    </row>
    <row r="384" spans="1:12">
      <c r="A384" s="174" t="s">
        <v>440</v>
      </c>
      <c r="B384" s="175"/>
      <c r="C384" s="176">
        <v>125.8</v>
      </c>
      <c r="D384" s="176">
        <v>15.7</v>
      </c>
      <c r="E384" s="176">
        <v>12.1</v>
      </c>
      <c r="F384" s="176">
        <v>3.8</v>
      </c>
      <c r="G384" s="176">
        <v>2.1</v>
      </c>
      <c r="H384" s="176">
        <v>5.8</v>
      </c>
      <c r="I384" s="177">
        <v>159.4</v>
      </c>
      <c r="J384" s="178"/>
      <c r="K384" s="178"/>
      <c r="L384" s="178"/>
    </row>
    <row r="385" spans="1:12">
      <c r="A385" s="174" t="s">
        <v>441</v>
      </c>
      <c r="B385" s="175"/>
      <c r="C385" s="176">
        <v>125.2</v>
      </c>
      <c r="D385" s="176">
        <v>15.6</v>
      </c>
      <c r="E385" s="176">
        <v>12.2</v>
      </c>
      <c r="F385" s="176">
        <v>4</v>
      </c>
      <c r="G385" s="176">
        <v>2.1</v>
      </c>
      <c r="H385" s="176">
        <v>6</v>
      </c>
      <c r="I385" s="177">
        <v>159</v>
      </c>
      <c r="J385" s="178"/>
      <c r="K385" s="178"/>
      <c r="L385" s="178"/>
    </row>
    <row r="386" spans="1:12">
      <c r="A386" s="174" t="s">
        <v>442</v>
      </c>
      <c r="B386" s="175"/>
      <c r="C386" s="176">
        <v>133.6</v>
      </c>
      <c r="D386" s="176">
        <v>16.2</v>
      </c>
      <c r="E386" s="176">
        <v>12.2</v>
      </c>
      <c r="F386" s="176">
        <v>4.8</v>
      </c>
      <c r="G386" s="176">
        <v>2.2000000000000002</v>
      </c>
      <c r="H386" s="176">
        <v>7</v>
      </c>
      <c r="I386" s="177">
        <v>169</v>
      </c>
      <c r="J386" s="178"/>
      <c r="K386" s="178"/>
      <c r="L386" s="178"/>
    </row>
    <row r="387" spans="1:12">
      <c r="A387" s="174" t="s">
        <v>443</v>
      </c>
      <c r="B387" s="175"/>
      <c r="C387" s="176">
        <v>136.4</v>
      </c>
      <c r="D387" s="176">
        <v>16.3</v>
      </c>
      <c r="E387" s="176">
        <v>11.7</v>
      </c>
      <c r="F387" s="176">
        <v>5.5</v>
      </c>
      <c r="G387" s="176">
        <v>2.2000000000000002</v>
      </c>
      <c r="H387" s="176">
        <v>7.7</v>
      </c>
      <c r="I387" s="177">
        <v>172.1</v>
      </c>
      <c r="J387" s="178"/>
      <c r="K387" s="178"/>
      <c r="L387" s="178"/>
    </row>
    <row r="388" spans="1:12">
      <c r="A388" s="174" t="s">
        <v>444</v>
      </c>
      <c r="B388" s="175"/>
      <c r="C388" s="176">
        <v>141.19999999999999</v>
      </c>
      <c r="D388" s="176">
        <v>16.2</v>
      </c>
      <c r="E388" s="176">
        <v>11.4</v>
      </c>
      <c r="F388" s="176">
        <v>5.7</v>
      </c>
      <c r="G388" s="176">
        <v>2.2000000000000002</v>
      </c>
      <c r="H388" s="176">
        <v>7.9</v>
      </c>
      <c r="I388" s="177">
        <v>176.7</v>
      </c>
      <c r="J388" s="178"/>
      <c r="K388" s="178"/>
      <c r="L388" s="178"/>
    </row>
    <row r="389" spans="1:12">
      <c r="A389" s="174" t="s">
        <v>445</v>
      </c>
      <c r="B389" s="175"/>
      <c r="C389" s="176">
        <v>143.69999999999999</v>
      </c>
      <c r="D389" s="176">
        <v>16.2</v>
      </c>
      <c r="E389" s="176">
        <v>11.7</v>
      </c>
      <c r="F389" s="176">
        <v>5.2</v>
      </c>
      <c r="G389" s="176">
        <v>2.2999999999999998</v>
      </c>
      <c r="H389" s="176">
        <v>7.5</v>
      </c>
      <c r="I389" s="177">
        <v>179</v>
      </c>
      <c r="J389" s="178"/>
      <c r="K389" s="178"/>
      <c r="L389" s="178"/>
    </row>
    <row r="390" spans="1:12">
      <c r="A390" s="174" t="s">
        <v>446</v>
      </c>
      <c r="B390" s="175"/>
      <c r="C390" s="176">
        <v>151.6</v>
      </c>
      <c r="D390" s="176">
        <v>17.100000000000001</v>
      </c>
      <c r="E390" s="176">
        <v>12.2</v>
      </c>
      <c r="F390" s="176">
        <v>5</v>
      </c>
      <c r="G390" s="176">
        <v>2.4</v>
      </c>
      <c r="H390" s="176">
        <v>7.5</v>
      </c>
      <c r="I390" s="177">
        <v>188.3</v>
      </c>
      <c r="J390" s="178"/>
      <c r="K390" s="178"/>
      <c r="L390" s="178"/>
    </row>
    <row r="391" spans="1:12">
      <c r="A391" s="174" t="s">
        <v>447</v>
      </c>
      <c r="B391" s="175"/>
      <c r="C391" s="176">
        <v>155.69999999999999</v>
      </c>
      <c r="D391" s="176">
        <v>17.8</v>
      </c>
      <c r="E391" s="176">
        <v>12.2</v>
      </c>
      <c r="F391" s="176">
        <v>4.5999999999999996</v>
      </c>
      <c r="G391" s="176">
        <v>2.2999999999999998</v>
      </c>
      <c r="H391" s="176">
        <v>6.9</v>
      </c>
      <c r="I391" s="177">
        <v>192.5</v>
      </c>
      <c r="J391" s="178"/>
      <c r="K391" s="178"/>
      <c r="L391" s="178"/>
    </row>
    <row r="392" spans="1:12">
      <c r="A392" s="174" t="s">
        <v>448</v>
      </c>
      <c r="B392" s="175"/>
      <c r="C392" s="176">
        <v>164.3</v>
      </c>
      <c r="D392" s="176">
        <v>18.600000000000001</v>
      </c>
      <c r="E392" s="176">
        <v>12.5</v>
      </c>
      <c r="F392" s="176">
        <v>4.4000000000000004</v>
      </c>
      <c r="G392" s="176">
        <v>2.2999999999999998</v>
      </c>
      <c r="H392" s="176">
        <v>6.7</v>
      </c>
      <c r="I392" s="177">
        <v>202.1</v>
      </c>
      <c r="J392" s="178"/>
      <c r="K392" s="178"/>
      <c r="L392" s="178"/>
    </row>
    <row r="393" spans="1:12">
      <c r="A393" s="174" t="s">
        <v>449</v>
      </c>
      <c r="B393" s="175"/>
      <c r="C393" s="176">
        <v>176.8</v>
      </c>
      <c r="D393" s="176">
        <v>20.3</v>
      </c>
      <c r="E393" s="176">
        <v>13.9</v>
      </c>
      <c r="F393" s="176">
        <v>4.2</v>
      </c>
      <c r="G393" s="176">
        <v>2.5</v>
      </c>
      <c r="H393" s="176">
        <v>6.7</v>
      </c>
      <c r="I393" s="177">
        <v>217.7</v>
      </c>
      <c r="J393" s="178"/>
      <c r="K393" s="178"/>
      <c r="L393" s="178"/>
    </row>
    <row r="394" spans="1:12">
      <c r="A394" s="174" t="s">
        <v>450</v>
      </c>
      <c r="B394" s="175"/>
      <c r="C394" s="176">
        <v>189.8</v>
      </c>
      <c r="D394" s="176">
        <v>22.5</v>
      </c>
      <c r="E394" s="176">
        <v>14.8</v>
      </c>
      <c r="F394" s="176">
        <v>3.7</v>
      </c>
      <c r="G394" s="176">
        <v>2.7</v>
      </c>
      <c r="H394" s="176">
        <v>6.4</v>
      </c>
      <c r="I394" s="177">
        <v>233.4</v>
      </c>
      <c r="J394" s="178"/>
      <c r="K394" s="178"/>
      <c r="L394" s="178"/>
    </row>
    <row r="395" spans="1:12">
      <c r="A395" s="174" t="s">
        <v>393</v>
      </c>
      <c r="B395" s="175"/>
      <c r="C395" s="176">
        <v>205.9</v>
      </c>
      <c r="D395" s="176">
        <v>24.7</v>
      </c>
      <c r="E395" s="176">
        <v>15.8</v>
      </c>
      <c r="F395" s="176">
        <v>3.7</v>
      </c>
      <c r="G395" s="176">
        <v>2.8</v>
      </c>
      <c r="H395" s="176">
        <v>6.5</v>
      </c>
      <c r="I395" s="177">
        <v>252.8</v>
      </c>
      <c r="J395" s="178"/>
      <c r="K395" s="178"/>
      <c r="L395" s="178"/>
    </row>
    <row r="396" spans="1:12">
      <c r="A396" s="174" t="s">
        <v>394</v>
      </c>
      <c r="B396" s="175"/>
      <c r="C396" s="176">
        <v>208.7</v>
      </c>
      <c r="D396" s="176">
        <v>24.8</v>
      </c>
      <c r="E396" s="176">
        <v>15.5</v>
      </c>
      <c r="F396" s="176">
        <v>3.5</v>
      </c>
      <c r="G396" s="176">
        <v>2.9</v>
      </c>
      <c r="H396" s="176">
        <v>6.3</v>
      </c>
      <c r="I396" s="177">
        <v>255.3</v>
      </c>
      <c r="J396" s="178"/>
      <c r="K396" s="178"/>
      <c r="L396" s="178"/>
    </row>
    <row r="397" spans="1:12">
      <c r="A397" s="174" t="s">
        <v>395</v>
      </c>
      <c r="B397" s="175"/>
      <c r="C397" s="176">
        <v>208.3</v>
      </c>
      <c r="D397" s="176">
        <v>25.9</v>
      </c>
      <c r="E397" s="176">
        <v>15.2</v>
      </c>
      <c r="F397" s="176">
        <v>3.4</v>
      </c>
      <c r="G397" s="176">
        <v>3</v>
      </c>
      <c r="H397" s="176">
        <v>6.3</v>
      </c>
      <c r="I397" s="177">
        <v>255.8</v>
      </c>
      <c r="J397" s="178"/>
      <c r="K397" s="178"/>
      <c r="L397" s="178"/>
    </row>
    <row r="398" spans="1:12">
      <c r="A398" s="179" t="s">
        <v>396</v>
      </c>
      <c r="B398" s="180"/>
      <c r="C398" s="176">
        <v>210</v>
      </c>
      <c r="D398" s="176">
        <v>25.6</v>
      </c>
      <c r="E398" s="176">
        <v>14.8</v>
      </c>
      <c r="F398" s="176">
        <v>2.8</v>
      </c>
      <c r="G398" s="176">
        <v>2.9</v>
      </c>
      <c r="H398" s="176">
        <v>5.7</v>
      </c>
      <c r="I398" s="177">
        <v>256.10000000000002</v>
      </c>
      <c r="J398" s="178"/>
      <c r="K398" s="178"/>
      <c r="L398" s="178"/>
    </row>
    <row r="399" spans="1:12" ht="18">
      <c r="A399" s="174">
        <v>1993</v>
      </c>
      <c r="B399" s="181">
        <v>4</v>
      </c>
      <c r="C399" s="176">
        <v>210.1</v>
      </c>
      <c r="D399" s="176">
        <v>25.8</v>
      </c>
      <c r="E399" s="176">
        <v>15.1</v>
      </c>
      <c r="F399" s="176">
        <v>2.2999999999999998</v>
      </c>
      <c r="G399" s="176">
        <v>2.9</v>
      </c>
      <c r="H399" s="176">
        <v>5.2</v>
      </c>
      <c r="I399" s="177">
        <v>256.2</v>
      </c>
      <c r="J399" s="178"/>
      <c r="K399" s="178"/>
      <c r="L399" s="178"/>
    </row>
    <row r="400" spans="1:12">
      <c r="A400" s="174" t="s">
        <v>398</v>
      </c>
      <c r="B400" s="175"/>
      <c r="C400" s="176">
        <v>214.4</v>
      </c>
      <c r="D400" s="176">
        <v>26.9</v>
      </c>
      <c r="E400" s="176">
        <v>15.4</v>
      </c>
      <c r="F400" s="176">
        <v>2.2999999999999998</v>
      </c>
      <c r="G400" s="176">
        <v>2.9</v>
      </c>
      <c r="H400" s="176">
        <v>5.2</v>
      </c>
      <c r="I400" s="177">
        <v>261.89999999999998</v>
      </c>
      <c r="J400" s="178"/>
      <c r="K400" s="178"/>
      <c r="L400" s="178"/>
    </row>
    <row r="401" spans="1:12">
      <c r="A401" s="174" t="s">
        <v>451</v>
      </c>
      <c r="B401" s="175"/>
      <c r="C401" s="176">
        <v>218.2</v>
      </c>
      <c r="D401" s="176">
        <v>27.7</v>
      </c>
      <c r="E401" s="176">
        <v>15.8</v>
      </c>
      <c r="F401" s="176">
        <v>2.2999999999999998</v>
      </c>
      <c r="G401" s="176">
        <v>3</v>
      </c>
      <c r="H401" s="176">
        <v>5.4</v>
      </c>
      <c r="I401" s="177">
        <v>267</v>
      </c>
      <c r="J401" s="178"/>
      <c r="K401" s="178"/>
      <c r="L401" s="178"/>
    </row>
    <row r="402" spans="1:12">
      <c r="A402" s="174" t="s">
        <v>452</v>
      </c>
      <c r="B402" s="175"/>
      <c r="C402" s="176">
        <v>223.6</v>
      </c>
      <c r="D402" s="176">
        <v>28.7</v>
      </c>
      <c r="E402" s="176">
        <v>16.3</v>
      </c>
      <c r="F402" s="176">
        <v>2.2999999999999998</v>
      </c>
      <c r="G402" s="176">
        <v>3.1</v>
      </c>
      <c r="H402" s="176">
        <v>5.5</v>
      </c>
      <c r="I402" s="177">
        <v>274.10000000000002</v>
      </c>
      <c r="J402" s="178"/>
      <c r="K402" s="178"/>
      <c r="L402" s="178"/>
    </row>
    <row r="403" spans="1:12">
      <c r="A403" s="174" t="s">
        <v>453</v>
      </c>
      <c r="B403" s="175"/>
      <c r="C403" s="176">
        <v>227.3</v>
      </c>
      <c r="D403" s="176">
        <v>30.2</v>
      </c>
      <c r="E403" s="176">
        <v>16.7</v>
      </c>
      <c r="F403" s="176">
        <v>2.5</v>
      </c>
      <c r="G403" s="176">
        <v>3.2</v>
      </c>
      <c r="H403" s="176">
        <v>5.7</v>
      </c>
      <c r="I403" s="177">
        <v>279.8</v>
      </c>
      <c r="J403" s="178"/>
      <c r="K403" s="178"/>
      <c r="L403" s="178"/>
    </row>
    <row r="404" spans="1:12">
      <c r="A404" s="174" t="s">
        <v>454</v>
      </c>
      <c r="B404" s="175"/>
      <c r="C404" s="176">
        <v>230.3</v>
      </c>
      <c r="D404" s="176">
        <v>31.6</v>
      </c>
      <c r="E404" s="176">
        <v>17.2</v>
      </c>
      <c r="F404" s="176">
        <v>2.6</v>
      </c>
      <c r="G404" s="176">
        <v>3.3</v>
      </c>
      <c r="H404" s="176">
        <v>5.8</v>
      </c>
      <c r="I404" s="177">
        <v>284.89999999999998</v>
      </c>
      <c r="J404" s="178"/>
      <c r="K404" s="178"/>
      <c r="L404" s="178"/>
    </row>
    <row r="405" spans="1:12">
      <c r="A405" s="174" t="s">
        <v>455</v>
      </c>
      <c r="B405" s="175"/>
      <c r="C405" s="176">
        <v>234.5</v>
      </c>
      <c r="D405" s="176">
        <v>32.1</v>
      </c>
      <c r="E405" s="176">
        <v>17.5</v>
      </c>
      <c r="F405" s="176">
        <v>2.8</v>
      </c>
      <c r="G405" s="176">
        <v>3.3</v>
      </c>
      <c r="H405" s="176">
        <v>6.1</v>
      </c>
      <c r="I405" s="177">
        <v>290.2</v>
      </c>
      <c r="J405" s="178"/>
      <c r="K405" s="178"/>
      <c r="L405" s="178"/>
    </row>
    <row r="406" spans="1:12">
      <c r="A406" s="174" t="s">
        <v>456</v>
      </c>
      <c r="B406" s="175"/>
      <c r="C406" s="176">
        <v>233.7</v>
      </c>
      <c r="D406" s="176">
        <v>32.4</v>
      </c>
      <c r="E406" s="176">
        <v>17.5</v>
      </c>
      <c r="F406" s="176">
        <v>2.8</v>
      </c>
      <c r="G406" s="176">
        <v>3.2</v>
      </c>
      <c r="H406" s="176">
        <v>6</v>
      </c>
      <c r="I406" s="177">
        <v>289.7</v>
      </c>
      <c r="J406" s="178"/>
      <c r="K406" s="178"/>
      <c r="L406" s="178"/>
    </row>
    <row r="407" spans="1:12">
      <c r="A407" s="174" t="s">
        <v>457</v>
      </c>
      <c r="B407" s="175"/>
      <c r="C407" s="176">
        <v>236.9</v>
      </c>
      <c r="D407" s="176">
        <v>33.200000000000003</v>
      </c>
      <c r="E407" s="176">
        <v>17.399999999999999</v>
      </c>
      <c r="F407" s="176">
        <v>3</v>
      </c>
      <c r="G407" s="176">
        <v>3.2</v>
      </c>
      <c r="H407" s="176">
        <v>6.2</v>
      </c>
      <c r="I407" s="177">
        <v>293.7</v>
      </c>
      <c r="J407" s="178"/>
      <c r="K407" s="178"/>
      <c r="L407" s="178"/>
    </row>
    <row r="408" spans="1:12">
      <c r="A408" s="174" t="s">
        <v>458</v>
      </c>
      <c r="B408" s="175"/>
      <c r="C408" s="176">
        <v>242.7</v>
      </c>
      <c r="D408" s="176">
        <v>34</v>
      </c>
      <c r="E408" s="176">
        <v>17.600000000000001</v>
      </c>
      <c r="F408" s="176">
        <v>3.1</v>
      </c>
      <c r="G408" s="176">
        <v>3.2</v>
      </c>
      <c r="H408" s="176">
        <v>6.3</v>
      </c>
      <c r="I408" s="177">
        <v>300.60000000000002</v>
      </c>
      <c r="J408" s="178"/>
      <c r="K408" s="178"/>
      <c r="L408" s="178"/>
    </row>
    <row r="409" spans="1:12">
      <c r="A409" s="174" t="s">
        <v>459</v>
      </c>
      <c r="B409" s="175"/>
      <c r="C409" s="176">
        <v>242.3</v>
      </c>
      <c r="D409" s="176">
        <v>35.700000000000003</v>
      </c>
      <c r="E409" s="176">
        <v>17.7</v>
      </c>
      <c r="F409" s="176">
        <v>3.4</v>
      </c>
      <c r="G409" s="176">
        <v>3.3</v>
      </c>
      <c r="H409" s="176">
        <v>6.8</v>
      </c>
      <c r="I409" s="177">
        <v>302.39999999999998</v>
      </c>
      <c r="J409" s="178"/>
      <c r="K409" s="178"/>
      <c r="L409" s="178"/>
    </row>
    <row r="410" spans="1:12">
      <c r="A410" s="174" t="s">
        <v>460</v>
      </c>
      <c r="B410" s="175"/>
      <c r="C410" s="176">
        <v>245</v>
      </c>
      <c r="D410" s="176">
        <v>37.4</v>
      </c>
      <c r="E410" s="176">
        <v>18.2</v>
      </c>
      <c r="F410" s="176">
        <v>3.2</v>
      </c>
      <c r="G410" s="176">
        <v>3.2</v>
      </c>
      <c r="H410" s="176">
        <v>6.4</v>
      </c>
      <c r="I410" s="177">
        <v>306.89999999999998</v>
      </c>
      <c r="J410" s="178"/>
      <c r="K410" s="178"/>
      <c r="L410" s="178"/>
    </row>
    <row r="411" spans="1:12">
      <c r="A411" s="174" t="s">
        <v>461</v>
      </c>
      <c r="B411" s="175"/>
      <c r="C411" s="176">
        <v>244</v>
      </c>
      <c r="D411" s="176">
        <v>38.4</v>
      </c>
      <c r="E411" s="176">
        <v>18</v>
      </c>
      <c r="F411" s="176">
        <v>3.3</v>
      </c>
      <c r="G411" s="176">
        <v>3.2</v>
      </c>
      <c r="H411" s="176">
        <v>6.5</v>
      </c>
      <c r="I411" s="177">
        <v>306.89999999999998</v>
      </c>
      <c r="J411" s="178"/>
      <c r="K411" s="178"/>
      <c r="L411" s="178"/>
    </row>
    <row r="412" spans="1:12">
      <c r="A412" s="174" t="s">
        <v>462</v>
      </c>
      <c r="B412" s="175"/>
      <c r="C412" s="176">
        <v>246.9</v>
      </c>
      <c r="D412" s="176">
        <v>39.9</v>
      </c>
      <c r="E412" s="176">
        <v>18</v>
      </c>
      <c r="F412" s="176">
        <v>3.2</v>
      </c>
      <c r="G412" s="176">
        <v>3.3</v>
      </c>
      <c r="H412" s="176">
        <v>6.5</v>
      </c>
      <c r="I412" s="177">
        <v>311.39999999999998</v>
      </c>
      <c r="J412" s="178"/>
      <c r="K412" s="178"/>
      <c r="L412" s="178"/>
    </row>
    <row r="413" spans="1:12">
      <c r="A413" s="174" t="s">
        <v>463</v>
      </c>
      <c r="B413" s="175"/>
      <c r="C413" s="176">
        <v>247.3</v>
      </c>
      <c r="D413" s="176">
        <v>41.9</v>
      </c>
      <c r="E413" s="176">
        <v>18.2</v>
      </c>
      <c r="F413" s="176">
        <v>3.4</v>
      </c>
      <c r="G413" s="176">
        <v>3.4</v>
      </c>
      <c r="H413" s="176">
        <v>6.8</v>
      </c>
      <c r="I413" s="177">
        <v>314.10000000000002</v>
      </c>
      <c r="J413" s="178"/>
      <c r="K413" s="178"/>
      <c r="L413" s="178"/>
    </row>
    <row r="414" spans="1:12">
      <c r="A414" s="174" t="s">
        <v>464</v>
      </c>
      <c r="B414" s="175"/>
      <c r="C414" s="176">
        <v>245.4</v>
      </c>
      <c r="D414" s="176">
        <v>41.6</v>
      </c>
      <c r="E414" s="176">
        <v>17.8</v>
      </c>
      <c r="F414" s="176">
        <v>3.1</v>
      </c>
      <c r="G414" s="176">
        <v>3.1</v>
      </c>
      <c r="H414" s="176">
        <v>6.3</v>
      </c>
      <c r="I414" s="177">
        <v>311</v>
      </c>
      <c r="J414" s="178"/>
      <c r="K414" s="178"/>
      <c r="L414" s="178"/>
    </row>
    <row r="415" spans="1:12">
      <c r="A415" s="174" t="s">
        <v>465</v>
      </c>
      <c r="B415" s="175"/>
      <c r="C415" s="176">
        <v>244.8</v>
      </c>
      <c r="D415" s="176">
        <v>40.700000000000003</v>
      </c>
      <c r="E415" s="176">
        <v>16.3</v>
      </c>
      <c r="F415" s="176">
        <v>3.2</v>
      </c>
      <c r="G415" s="176">
        <v>3.1</v>
      </c>
      <c r="H415" s="176">
        <v>6.3</v>
      </c>
      <c r="I415" s="177">
        <v>308.10000000000002</v>
      </c>
      <c r="J415" s="178"/>
      <c r="K415" s="178"/>
      <c r="L415" s="178"/>
    </row>
    <row r="416" spans="1:12" ht="16.8">
      <c r="A416" s="174">
        <v>2010</v>
      </c>
      <c r="B416" s="182" t="s">
        <v>399</v>
      </c>
      <c r="C416" s="176">
        <v>241.9</v>
      </c>
      <c r="D416" s="176">
        <v>41.4</v>
      </c>
      <c r="E416" s="176">
        <v>16.399999999999999</v>
      </c>
      <c r="F416" s="176">
        <v>2.9</v>
      </c>
      <c r="G416" s="176">
        <v>3.2</v>
      </c>
      <c r="H416" s="176">
        <v>6.1</v>
      </c>
      <c r="I416" s="177">
        <v>305.8</v>
      </c>
      <c r="J416" s="178"/>
      <c r="K416" s="178"/>
      <c r="L416" s="178"/>
    </row>
    <row r="417" spans="1:12" ht="16.8">
      <c r="A417" s="174">
        <v>2011</v>
      </c>
      <c r="B417" s="182" t="s">
        <v>399</v>
      </c>
      <c r="C417" s="176">
        <v>244.3</v>
      </c>
      <c r="D417" s="176">
        <v>42</v>
      </c>
      <c r="E417" s="176">
        <v>16</v>
      </c>
      <c r="F417" s="176">
        <v>2.9</v>
      </c>
      <c r="G417" s="176">
        <v>3</v>
      </c>
      <c r="H417" s="176">
        <v>5.9</v>
      </c>
      <c r="I417" s="177">
        <v>308.2</v>
      </c>
      <c r="J417" s="178"/>
      <c r="K417" s="178"/>
      <c r="L417" s="178"/>
    </row>
    <row r="418" spans="1:12" ht="16.8">
      <c r="A418" s="183">
        <v>2012</v>
      </c>
      <c r="B418" s="182" t="s">
        <v>399</v>
      </c>
      <c r="C418" s="176">
        <v>245.5</v>
      </c>
      <c r="D418" s="176">
        <v>42.2</v>
      </c>
      <c r="E418" s="176">
        <v>15.6</v>
      </c>
      <c r="F418" s="176">
        <v>2.9</v>
      </c>
      <c r="G418" s="176">
        <v>2.8</v>
      </c>
      <c r="H418" s="176">
        <v>5.7</v>
      </c>
      <c r="I418" s="177">
        <v>309</v>
      </c>
      <c r="J418" s="178"/>
      <c r="K418" s="178"/>
      <c r="L418" s="178"/>
    </row>
    <row r="419" spans="1:12" ht="16.8">
      <c r="A419" s="183">
        <v>2013</v>
      </c>
      <c r="B419" s="182" t="s">
        <v>399</v>
      </c>
      <c r="C419" s="176">
        <v>246.6</v>
      </c>
      <c r="D419" s="176">
        <v>43.8</v>
      </c>
      <c r="E419" s="176">
        <v>15.8</v>
      </c>
      <c r="F419" s="176">
        <v>2.8</v>
      </c>
      <c r="G419" s="176">
        <v>2.9</v>
      </c>
      <c r="H419" s="176">
        <v>5.7</v>
      </c>
      <c r="I419" s="177">
        <v>311.89999999999998</v>
      </c>
      <c r="J419" s="178"/>
      <c r="K419" s="178"/>
      <c r="L419" s="178"/>
    </row>
    <row r="420" spans="1:12" ht="16.8">
      <c r="A420" s="183">
        <v>2014</v>
      </c>
      <c r="B420" s="182" t="s">
        <v>399</v>
      </c>
      <c r="C420" s="176">
        <v>253.5</v>
      </c>
      <c r="D420" s="176">
        <v>46.6</v>
      </c>
      <c r="E420" s="176">
        <v>16.2</v>
      </c>
      <c r="F420" s="176">
        <v>2.9</v>
      </c>
      <c r="G420" s="176">
        <v>2.9</v>
      </c>
      <c r="H420" s="176">
        <v>5.8</v>
      </c>
      <c r="I420" s="177">
        <v>322.2</v>
      </c>
      <c r="J420" s="178"/>
      <c r="K420" s="178"/>
      <c r="L420" s="178"/>
    </row>
    <row r="421" spans="1:12" ht="16.8">
      <c r="A421" s="174">
        <v>2015</v>
      </c>
      <c r="B421" s="182" t="s">
        <v>399</v>
      </c>
      <c r="C421" s="176">
        <v>258.10000000000002</v>
      </c>
      <c r="D421" s="176">
        <v>48.9</v>
      </c>
      <c r="E421" s="176">
        <v>16.8</v>
      </c>
      <c r="F421" s="176">
        <v>2.9</v>
      </c>
      <c r="G421" s="176">
        <v>2.8</v>
      </c>
      <c r="H421" s="176">
        <v>5.7</v>
      </c>
      <c r="I421" s="177">
        <v>329.6</v>
      </c>
      <c r="J421" s="178"/>
      <c r="K421" s="178"/>
      <c r="L421" s="178"/>
    </row>
    <row r="422" spans="1:12" ht="16.8">
      <c r="A422" s="174">
        <v>2016</v>
      </c>
      <c r="B422" s="182" t="s">
        <v>399</v>
      </c>
      <c r="C422" s="176">
        <v>263.89999999999998</v>
      </c>
      <c r="D422" s="176">
        <v>51.7</v>
      </c>
      <c r="E422" s="176">
        <v>17</v>
      </c>
      <c r="F422" s="176">
        <v>3</v>
      </c>
      <c r="G422" s="176">
        <v>2.6</v>
      </c>
      <c r="H422" s="176">
        <v>5.6</v>
      </c>
      <c r="I422" s="177">
        <v>338.2</v>
      </c>
      <c r="J422" s="178"/>
      <c r="K422" s="178"/>
      <c r="L422" s="178"/>
    </row>
    <row r="423" spans="1:12" ht="16.8">
      <c r="A423" s="174">
        <v>2017</v>
      </c>
      <c r="B423" s="182" t="s">
        <v>399</v>
      </c>
      <c r="C423" s="176">
        <v>269</v>
      </c>
      <c r="D423" s="176">
        <v>53.4</v>
      </c>
      <c r="E423" s="176">
        <v>17.2</v>
      </c>
      <c r="F423" s="176">
        <v>3</v>
      </c>
      <c r="G423" s="176">
        <v>2.6</v>
      </c>
      <c r="H423" s="176">
        <v>5.5</v>
      </c>
      <c r="I423" s="177">
        <v>345.2</v>
      </c>
      <c r="J423" s="178"/>
      <c r="K423" s="178"/>
      <c r="L423" s="178"/>
    </row>
    <row r="424" spans="1:12" ht="16.8">
      <c r="A424" s="174">
        <v>2018</v>
      </c>
      <c r="B424" s="182" t="s">
        <v>399</v>
      </c>
      <c r="C424" s="176">
        <v>272.3</v>
      </c>
      <c r="D424" s="176">
        <v>54.4</v>
      </c>
      <c r="E424" s="176">
        <v>17.3</v>
      </c>
      <c r="F424" s="176">
        <v>3</v>
      </c>
      <c r="G424" s="176">
        <v>2.5</v>
      </c>
      <c r="H424" s="176">
        <v>5.5</v>
      </c>
      <c r="I424" s="177">
        <v>349.5</v>
      </c>
      <c r="J424" s="178"/>
      <c r="K424" s="178"/>
      <c r="L424" s="178"/>
    </row>
    <row r="425" spans="1:12">
      <c r="A425" s="174">
        <v>2019</v>
      </c>
      <c r="B425" s="175"/>
      <c r="C425" s="176">
        <v>278.2</v>
      </c>
      <c r="D425" s="176">
        <v>55.5</v>
      </c>
      <c r="E425" s="176">
        <v>17.399999999999999</v>
      </c>
      <c r="F425" s="176">
        <v>3</v>
      </c>
      <c r="G425" s="176">
        <v>2.4</v>
      </c>
      <c r="H425" s="176">
        <v>5.4</v>
      </c>
      <c r="I425" s="177">
        <v>356.5</v>
      </c>
      <c r="J425" s="178"/>
      <c r="K425" s="178"/>
      <c r="L425" s="178"/>
    </row>
    <row r="426" spans="1:12" ht="15" thickBot="1">
      <c r="A426" s="184"/>
      <c r="B426" s="185"/>
      <c r="C426" s="186"/>
      <c r="D426" s="186"/>
      <c r="E426" s="186"/>
      <c r="F426" s="186"/>
      <c r="G426" s="186"/>
      <c r="H426" s="186"/>
      <c r="I426" s="186"/>
      <c r="J426" s="178"/>
      <c r="K426" s="178"/>
      <c r="L426" s="178"/>
    </row>
    <row r="427" spans="1:12">
      <c r="A427" s="187" t="s">
        <v>466</v>
      </c>
      <c r="B427" s="188"/>
      <c r="C427" s="189"/>
      <c r="D427" s="190"/>
      <c r="E427" s="191"/>
      <c r="F427" s="191"/>
      <c r="G427" s="191"/>
      <c r="H427" s="191"/>
      <c r="I427" s="192" t="s">
        <v>467</v>
      </c>
      <c r="J427" s="192"/>
      <c r="K427" s="178"/>
      <c r="L427" s="178"/>
    </row>
    <row r="428" spans="1:12">
      <c r="A428" s="187" t="s">
        <v>468</v>
      </c>
      <c r="B428" s="188"/>
      <c r="C428" s="193"/>
      <c r="D428" s="191"/>
      <c r="E428" s="191"/>
      <c r="F428" s="191"/>
      <c r="G428" s="191"/>
      <c r="H428" s="191"/>
      <c r="I428" s="192" t="s">
        <v>469</v>
      </c>
      <c r="J428" s="192"/>
      <c r="K428" s="178"/>
      <c r="L428" s="178"/>
    </row>
    <row r="429" spans="1:12">
      <c r="A429" s="187" t="s">
        <v>470</v>
      </c>
      <c r="B429" s="188"/>
      <c r="C429" s="193"/>
      <c r="D429" s="191"/>
      <c r="E429" s="191"/>
      <c r="F429" s="191"/>
      <c r="G429" s="191"/>
      <c r="H429" s="191"/>
      <c r="I429" s="194" t="s">
        <v>471</v>
      </c>
      <c r="J429" s="194"/>
      <c r="K429" s="178"/>
      <c r="L429" s="178"/>
    </row>
    <row r="430" spans="1:12">
      <c r="A430" s="187" t="s">
        <v>472</v>
      </c>
      <c r="B430" s="188"/>
      <c r="C430" s="193"/>
      <c r="D430" s="191"/>
      <c r="E430" s="190"/>
      <c r="F430" s="190"/>
      <c r="G430" s="190"/>
      <c r="H430" s="190"/>
      <c r="I430" s="190"/>
      <c r="J430" s="178"/>
      <c r="K430" s="178"/>
      <c r="L430" s="178"/>
    </row>
    <row r="431" spans="1:12">
      <c r="A431" s="195" t="s">
        <v>473</v>
      </c>
      <c r="B431" s="188"/>
      <c r="C431" s="193"/>
      <c r="D431" s="191"/>
      <c r="E431" s="190"/>
      <c r="F431" s="190"/>
      <c r="G431" s="190"/>
      <c r="H431" s="190"/>
      <c r="I431" s="190"/>
      <c r="J431" s="178"/>
      <c r="K431" s="178"/>
      <c r="L431" s="178"/>
    </row>
    <row r="432" spans="1:12">
      <c r="A432" s="195" t="s">
        <v>474</v>
      </c>
      <c r="B432" s="188"/>
      <c r="C432" s="193"/>
      <c r="D432" s="191"/>
      <c r="E432" s="190"/>
      <c r="F432" s="190"/>
      <c r="G432" s="190"/>
      <c r="H432" s="190"/>
      <c r="I432" s="190"/>
      <c r="J432" s="178"/>
      <c r="K432" s="178"/>
      <c r="L432" s="178"/>
    </row>
    <row r="433" spans="1:12">
      <c r="A433" s="310" t="s">
        <v>475</v>
      </c>
      <c r="B433" s="310"/>
      <c r="C433" s="310"/>
      <c r="D433" s="310"/>
      <c r="E433" s="310"/>
      <c r="F433" s="310"/>
      <c r="G433" s="310"/>
      <c r="H433" s="310"/>
      <c r="I433" s="310"/>
      <c r="J433" s="310"/>
      <c r="K433" s="310"/>
      <c r="L433" s="310"/>
    </row>
    <row r="434" spans="1:12">
      <c r="A434" s="196"/>
      <c r="B434" s="188"/>
      <c r="C434" s="193"/>
      <c r="D434" s="191"/>
      <c r="E434" s="190"/>
      <c r="F434" s="190"/>
      <c r="G434" s="190"/>
      <c r="H434" s="190"/>
      <c r="I434" s="190"/>
      <c r="J434" s="178"/>
      <c r="K434" s="178"/>
      <c r="L434" s="178"/>
    </row>
    <row r="435" spans="1:12">
      <c r="A435" s="168" t="s">
        <v>476</v>
      </c>
      <c r="B435" s="188"/>
      <c r="C435" s="189"/>
      <c r="D435" s="190"/>
      <c r="E435" s="190"/>
      <c r="F435" s="190"/>
      <c r="G435" s="190"/>
      <c r="H435" s="190"/>
      <c r="I435" s="190"/>
      <c r="J435" s="178"/>
      <c r="K435" s="178"/>
      <c r="L435" s="178"/>
    </row>
    <row r="436" spans="1:12">
      <c r="A436" s="168" t="s">
        <v>477</v>
      </c>
      <c r="B436" s="197"/>
      <c r="C436" s="198"/>
      <c r="D436" s="178"/>
      <c r="E436" s="178"/>
      <c r="F436" s="178"/>
      <c r="G436" s="178"/>
      <c r="H436" s="178"/>
      <c r="I436" s="178"/>
      <c r="J436" s="178"/>
      <c r="K436" s="178"/>
      <c r="L436" s="178"/>
    </row>
    <row r="437" spans="1:12">
      <c r="A437" s="199" t="s">
        <v>478</v>
      </c>
      <c r="B437" s="200"/>
      <c r="C437" s="198"/>
      <c r="D437" s="178"/>
      <c r="E437" s="178"/>
      <c r="F437" s="178"/>
      <c r="G437" s="178"/>
      <c r="H437" s="178"/>
      <c r="I437" s="178"/>
      <c r="J437" s="178"/>
      <c r="K437" s="178"/>
      <c r="L437" s="178"/>
    </row>
    <row r="438" spans="1:12">
      <c r="A438" s="310" t="s">
        <v>479</v>
      </c>
      <c r="B438" s="310"/>
      <c r="C438" s="310"/>
      <c r="D438" s="310"/>
      <c r="E438" s="310"/>
      <c r="F438" s="310"/>
      <c r="G438" s="310"/>
      <c r="H438" s="310"/>
      <c r="I438" s="310"/>
      <c r="J438" s="310"/>
      <c r="K438" s="310"/>
      <c r="L438" s="310"/>
    </row>
    <row r="439" spans="1:12">
      <c r="A439" s="168" t="s">
        <v>480</v>
      </c>
      <c r="B439" s="197"/>
      <c r="C439" s="198"/>
      <c r="D439" s="178"/>
      <c r="E439" s="178"/>
      <c r="F439" s="178"/>
      <c r="G439" s="178"/>
      <c r="H439" s="178"/>
      <c r="I439" s="178"/>
      <c r="J439" s="178"/>
      <c r="K439" s="178"/>
      <c r="L439" s="178"/>
    </row>
    <row r="440" spans="1:12">
      <c r="A440" s="178"/>
      <c r="B440" s="197"/>
      <c r="C440" s="198"/>
      <c r="D440" s="178"/>
      <c r="E440" s="178"/>
      <c r="F440" s="178"/>
      <c r="G440" s="178"/>
      <c r="H440" s="178"/>
      <c r="I440" s="178"/>
      <c r="J440" s="178"/>
      <c r="K440" s="178"/>
      <c r="L440" s="178"/>
    </row>
    <row r="441" spans="1:12">
      <c r="A441" s="178"/>
      <c r="B441" s="197"/>
      <c r="C441" s="198"/>
      <c r="D441" s="178"/>
      <c r="E441" s="178"/>
      <c r="F441" s="178"/>
      <c r="G441" s="178"/>
      <c r="H441" s="178"/>
      <c r="I441" s="178"/>
      <c r="J441" s="178"/>
      <c r="K441" s="178"/>
      <c r="L441" s="178"/>
    </row>
  </sheetData>
  <mergeCells count="6">
    <mergeCell ref="A438:L438"/>
    <mergeCell ref="F20:S20"/>
    <mergeCell ref="A310:N310"/>
    <mergeCell ref="A349:L349"/>
    <mergeCell ref="F353:H353"/>
    <mergeCell ref="A433:L433"/>
  </mergeCells>
  <hyperlinks>
    <hyperlink ref="J18" r:id="rId1" xr:uid="{00000000-0004-0000-0500-000000000000}"/>
    <hyperlink ref="A311" r:id="rId2" location="'1.1'!A1" display="http://tna.europarchive.org/20110503185748/http:/www.dft.gov.uk/excel/173025/221412/221522/222944/rfs2009section1.xls - '1.1'!A1" xr:uid="{00000000-0004-0000-0500-000001000000}"/>
    <hyperlink ref="A349" r:id="rId3" xr:uid="{00000000-0004-0000-0500-000002000000}"/>
    <hyperlink ref="A433" r:id="rId4" xr:uid="{00000000-0004-0000-0500-000003000000}"/>
    <hyperlink ref="A438" r:id="rId5" xr:uid="{00000000-0004-0000-0500-000004000000}"/>
    <hyperlink ref="C225" r:id="rId6" xr:uid="{00000000-0004-0000-0500-000005000000}"/>
  </hyperlinks>
  <pageMargins left="0.7" right="0.7" top="0.75" bottom="0.75" header="0.3" footer="0.3"/>
  <pageSetup paperSize="9" orientation="portrait" r:id="rId7"/>
  <drawing r:id="rId8"/>
  <legacyDrawing r:id="rId9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theme="9" tint="0.59999389629810485"/>
  </sheetPr>
  <dimension ref="A1:P82"/>
  <sheetViews>
    <sheetView topLeftCell="A78" workbookViewId="0">
      <selection activeCell="E98" sqref="E98"/>
    </sheetView>
  </sheetViews>
  <sheetFormatPr defaultColWidth="9.109375" defaultRowHeight="14.4"/>
  <cols>
    <col min="1" max="9" width="18.5546875" style="28" customWidth="1"/>
    <col min="10" max="10" width="18.5546875" style="208" customWidth="1"/>
    <col min="11" max="16" width="18.5546875" style="28" customWidth="1"/>
    <col min="17" max="16384" width="9.109375" style="26"/>
  </cols>
  <sheetData>
    <row r="1" spans="1:16" ht="18">
      <c r="A1" s="31" t="s">
        <v>202</v>
      </c>
    </row>
    <row r="2" spans="1:16" ht="18">
      <c r="A2" s="32" t="s">
        <v>203</v>
      </c>
    </row>
    <row r="3" spans="1:16">
      <c r="A3" s="33"/>
    </row>
    <row r="4" spans="1:16">
      <c r="A4" s="34" t="str">
        <f>HYPERLINK("http://www.eia.gov/totalenergy/data/monthly/dataunits.cfm","Note: Information about data precision.")</f>
        <v>Note: Information about data precision.</v>
      </c>
    </row>
    <row r="5" spans="1:16">
      <c r="A5" s="27" t="s">
        <v>486</v>
      </c>
      <c r="B5" s="23">
        <f>'3_Greene 2010'!B5</f>
        <v>235.21458357138519</v>
      </c>
      <c r="C5" s="23" t="s">
        <v>86</v>
      </c>
    </row>
    <row r="6" spans="1:16">
      <c r="A6" s="33" t="s">
        <v>204</v>
      </c>
    </row>
    <row r="7" spans="1:16">
      <c r="A7" s="33" t="s">
        <v>205</v>
      </c>
    </row>
    <row r="8" spans="1:16">
      <c r="A8" s="33"/>
    </row>
    <row r="9" spans="1:16" ht="15.6">
      <c r="A9" s="35" t="s">
        <v>206</v>
      </c>
    </row>
    <row r="11" spans="1:16" ht="41.4">
      <c r="A11" s="29" t="s">
        <v>7</v>
      </c>
      <c r="B11" s="29" t="s">
        <v>207</v>
      </c>
      <c r="C11" s="29" t="s">
        <v>208</v>
      </c>
      <c r="D11" s="29" t="s">
        <v>209</v>
      </c>
      <c r="E11" s="29"/>
      <c r="F11" s="29" t="s">
        <v>210</v>
      </c>
      <c r="G11" s="29" t="s">
        <v>211</v>
      </c>
      <c r="H11" s="29" t="s">
        <v>212</v>
      </c>
      <c r="I11" s="206" t="s">
        <v>506</v>
      </c>
      <c r="J11" s="209" t="s">
        <v>506</v>
      </c>
      <c r="K11" s="29" t="s">
        <v>213</v>
      </c>
      <c r="L11" s="29" t="s">
        <v>214</v>
      </c>
      <c r="M11" s="29" t="s">
        <v>215</v>
      </c>
      <c r="N11" s="29" t="s">
        <v>216</v>
      </c>
      <c r="O11" s="29" t="s">
        <v>217</v>
      </c>
      <c r="P11" s="29" t="s">
        <v>218</v>
      </c>
    </row>
    <row r="12" spans="1:16">
      <c r="A12" s="29"/>
      <c r="B12" s="29" t="s">
        <v>219</v>
      </c>
      <c r="C12" s="29" t="s">
        <v>220</v>
      </c>
      <c r="D12" s="29" t="s">
        <v>221</v>
      </c>
      <c r="E12" s="29" t="s">
        <v>86</v>
      </c>
      <c r="F12" s="29" t="s">
        <v>219</v>
      </c>
      <c r="G12" s="29" t="s">
        <v>220</v>
      </c>
      <c r="H12" s="29" t="s">
        <v>221</v>
      </c>
      <c r="I12" s="29" t="s">
        <v>221</v>
      </c>
      <c r="J12" s="210" t="s">
        <v>86</v>
      </c>
      <c r="K12" s="29" t="s">
        <v>219</v>
      </c>
      <c r="L12" s="29" t="s">
        <v>220</v>
      </c>
      <c r="M12" s="29" t="s">
        <v>221</v>
      </c>
      <c r="N12" s="29" t="s">
        <v>219</v>
      </c>
      <c r="O12" s="29" t="s">
        <v>220</v>
      </c>
      <c r="P12" s="29" t="s">
        <v>221</v>
      </c>
    </row>
    <row r="13" spans="1:16">
      <c r="A13" s="30">
        <v>1949</v>
      </c>
      <c r="B13" s="28">
        <v>9388</v>
      </c>
      <c r="C13" s="28">
        <v>627</v>
      </c>
      <c r="D13" s="28">
        <v>15</v>
      </c>
      <c r="E13" s="36">
        <f>$B$5/D13</f>
        <v>15.680972238092346</v>
      </c>
      <c r="F13" s="28" t="s">
        <v>222</v>
      </c>
      <c r="G13" s="28" t="s">
        <v>222</v>
      </c>
      <c r="H13" s="28" t="s">
        <v>222</v>
      </c>
      <c r="K13" s="28">
        <v>9712</v>
      </c>
      <c r="L13" s="28">
        <v>1080</v>
      </c>
      <c r="M13" s="28">
        <v>9</v>
      </c>
      <c r="N13" s="28">
        <v>9498</v>
      </c>
      <c r="O13" s="28">
        <v>726</v>
      </c>
      <c r="P13" s="28">
        <v>13.1</v>
      </c>
    </row>
    <row r="14" spans="1:16">
      <c r="A14" s="30">
        <v>1950</v>
      </c>
      <c r="B14" s="28">
        <v>9060</v>
      </c>
      <c r="C14" s="28">
        <v>603</v>
      </c>
      <c r="D14" s="28">
        <v>15</v>
      </c>
      <c r="E14" s="36">
        <f t="shared" ref="E14:E77" si="0">$B$5/D14</f>
        <v>15.680972238092346</v>
      </c>
      <c r="F14" s="28" t="s">
        <v>222</v>
      </c>
      <c r="G14" s="28" t="s">
        <v>222</v>
      </c>
      <c r="H14" s="28" t="s">
        <v>222</v>
      </c>
      <c r="K14" s="28">
        <v>10316</v>
      </c>
      <c r="L14" s="28">
        <v>1229</v>
      </c>
      <c r="M14" s="28">
        <v>8.4</v>
      </c>
      <c r="N14" s="28">
        <v>9321</v>
      </c>
      <c r="O14" s="28">
        <v>725</v>
      </c>
      <c r="P14" s="28">
        <v>12.8</v>
      </c>
    </row>
    <row r="15" spans="1:16">
      <c r="A15" s="30">
        <v>1951</v>
      </c>
      <c r="B15" s="28">
        <v>9186</v>
      </c>
      <c r="C15" s="28">
        <v>614</v>
      </c>
      <c r="D15" s="28">
        <v>15</v>
      </c>
      <c r="E15" s="36">
        <f t="shared" si="0"/>
        <v>15.680972238092346</v>
      </c>
      <c r="F15" s="28" t="s">
        <v>222</v>
      </c>
      <c r="G15" s="28" t="s">
        <v>222</v>
      </c>
      <c r="H15" s="28" t="s">
        <v>222</v>
      </c>
      <c r="K15" s="28">
        <v>10545</v>
      </c>
      <c r="L15" s="28">
        <v>1242</v>
      </c>
      <c r="M15" s="28">
        <v>8.5</v>
      </c>
      <c r="N15" s="28">
        <v>9460</v>
      </c>
      <c r="O15" s="28">
        <v>735</v>
      </c>
      <c r="P15" s="28">
        <v>12.9</v>
      </c>
    </row>
    <row r="16" spans="1:16">
      <c r="A16" s="30">
        <v>1952</v>
      </c>
      <c r="B16" s="28">
        <v>9360</v>
      </c>
      <c r="C16" s="28">
        <v>639</v>
      </c>
      <c r="D16" s="28">
        <v>14.7</v>
      </c>
      <c r="E16" s="36">
        <f t="shared" si="0"/>
        <v>16.000992079686068</v>
      </c>
      <c r="F16" s="28" t="s">
        <v>222</v>
      </c>
      <c r="G16" s="28" t="s">
        <v>222</v>
      </c>
      <c r="H16" s="28" t="s">
        <v>222</v>
      </c>
      <c r="K16" s="28">
        <v>10769</v>
      </c>
      <c r="L16" s="28">
        <v>1288</v>
      </c>
      <c r="M16" s="28">
        <v>8.4</v>
      </c>
      <c r="N16" s="28">
        <v>9642</v>
      </c>
      <c r="O16" s="28">
        <v>762</v>
      </c>
      <c r="P16" s="28">
        <v>12.7</v>
      </c>
    </row>
    <row r="17" spans="1:16">
      <c r="A17" s="30">
        <v>1953</v>
      </c>
      <c r="B17" s="28">
        <v>9377</v>
      </c>
      <c r="C17" s="28">
        <v>640</v>
      </c>
      <c r="D17" s="28">
        <v>14.6</v>
      </c>
      <c r="E17" s="36">
        <f t="shared" si="0"/>
        <v>16.110587915848303</v>
      </c>
      <c r="F17" s="28" t="s">
        <v>222</v>
      </c>
      <c r="G17" s="28" t="s">
        <v>222</v>
      </c>
      <c r="H17" s="28" t="s">
        <v>222</v>
      </c>
      <c r="K17" s="28">
        <v>10963</v>
      </c>
      <c r="L17" s="28">
        <v>1283</v>
      </c>
      <c r="M17" s="28">
        <v>8.5</v>
      </c>
      <c r="N17" s="28">
        <v>9684</v>
      </c>
      <c r="O17" s="28">
        <v>760</v>
      </c>
      <c r="P17" s="28">
        <v>12.7</v>
      </c>
    </row>
    <row r="18" spans="1:16">
      <c r="A18" s="30">
        <v>1954</v>
      </c>
      <c r="B18" s="28">
        <v>9349</v>
      </c>
      <c r="C18" s="28">
        <v>641</v>
      </c>
      <c r="D18" s="28">
        <v>14.6</v>
      </c>
      <c r="E18" s="36">
        <f t="shared" si="0"/>
        <v>16.110587915848303</v>
      </c>
      <c r="F18" s="28" t="s">
        <v>222</v>
      </c>
      <c r="G18" s="28" t="s">
        <v>222</v>
      </c>
      <c r="H18" s="28" t="s">
        <v>222</v>
      </c>
      <c r="K18" s="28">
        <v>10682</v>
      </c>
      <c r="L18" s="28">
        <v>1281</v>
      </c>
      <c r="M18" s="28">
        <v>8.3000000000000007</v>
      </c>
      <c r="N18" s="28">
        <v>9605</v>
      </c>
      <c r="O18" s="28">
        <v>758</v>
      </c>
      <c r="P18" s="28">
        <v>12.7</v>
      </c>
    </row>
    <row r="19" spans="1:16">
      <c r="A19" s="30">
        <v>1955</v>
      </c>
      <c r="B19" s="28">
        <v>9447</v>
      </c>
      <c r="C19" s="28">
        <v>645</v>
      </c>
      <c r="D19" s="28">
        <v>14.6</v>
      </c>
      <c r="E19" s="36">
        <f t="shared" si="0"/>
        <v>16.110587915848303</v>
      </c>
      <c r="F19" s="28" t="s">
        <v>222</v>
      </c>
      <c r="G19" s="28" t="s">
        <v>222</v>
      </c>
      <c r="H19" s="28" t="s">
        <v>222</v>
      </c>
      <c r="K19" s="28">
        <v>10576</v>
      </c>
      <c r="L19" s="28">
        <v>1293</v>
      </c>
      <c r="M19" s="28">
        <v>8.1999999999999993</v>
      </c>
      <c r="N19" s="28">
        <v>9661</v>
      </c>
      <c r="O19" s="28">
        <v>761</v>
      </c>
      <c r="P19" s="28">
        <v>12.7</v>
      </c>
    </row>
    <row r="20" spans="1:16">
      <c r="A20" s="30">
        <v>1956</v>
      </c>
      <c r="B20" s="28">
        <v>9496</v>
      </c>
      <c r="C20" s="28">
        <v>654</v>
      </c>
      <c r="D20" s="28">
        <v>14.5</v>
      </c>
      <c r="E20" s="36">
        <f t="shared" si="0"/>
        <v>16.221695418716219</v>
      </c>
      <c r="F20" s="28" t="s">
        <v>222</v>
      </c>
      <c r="G20" s="28" t="s">
        <v>222</v>
      </c>
      <c r="H20" s="28" t="s">
        <v>222</v>
      </c>
      <c r="K20" s="28">
        <v>10511</v>
      </c>
      <c r="L20" s="28">
        <v>1309</v>
      </c>
      <c r="M20" s="28">
        <v>8</v>
      </c>
      <c r="N20" s="28">
        <v>9688</v>
      </c>
      <c r="O20" s="28">
        <v>771</v>
      </c>
      <c r="P20" s="28">
        <v>12.6</v>
      </c>
    </row>
    <row r="21" spans="1:16">
      <c r="A21" s="30">
        <v>1957</v>
      </c>
      <c r="B21" s="28">
        <v>9348</v>
      </c>
      <c r="C21" s="28">
        <v>658</v>
      </c>
      <c r="D21" s="28">
        <v>14.2</v>
      </c>
      <c r="E21" s="36">
        <f t="shared" si="0"/>
        <v>16.564407293759523</v>
      </c>
      <c r="F21" s="28" t="s">
        <v>222</v>
      </c>
      <c r="G21" s="28" t="s">
        <v>222</v>
      </c>
      <c r="H21" s="28" t="s">
        <v>222</v>
      </c>
      <c r="K21" s="28">
        <v>10774</v>
      </c>
      <c r="L21" s="28">
        <v>1304</v>
      </c>
      <c r="M21" s="28">
        <v>8.3000000000000007</v>
      </c>
      <c r="N21" s="28">
        <v>9609</v>
      </c>
      <c r="O21" s="28">
        <v>773</v>
      </c>
      <c r="P21" s="28">
        <v>12.4</v>
      </c>
    </row>
    <row r="22" spans="1:16">
      <c r="A22" s="30">
        <v>1958</v>
      </c>
      <c r="B22" s="28">
        <v>9500</v>
      </c>
      <c r="C22" s="28">
        <v>670</v>
      </c>
      <c r="D22" s="28">
        <v>14.2</v>
      </c>
      <c r="E22" s="36">
        <f t="shared" si="0"/>
        <v>16.564407293759523</v>
      </c>
      <c r="F22" s="28" t="s">
        <v>222</v>
      </c>
      <c r="G22" s="28" t="s">
        <v>222</v>
      </c>
      <c r="H22" s="28" t="s">
        <v>222</v>
      </c>
      <c r="K22" s="28">
        <v>10768</v>
      </c>
      <c r="L22" s="28">
        <v>1303</v>
      </c>
      <c r="M22" s="28">
        <v>8.3000000000000007</v>
      </c>
      <c r="N22" s="28">
        <v>9732</v>
      </c>
      <c r="O22" s="28">
        <v>782</v>
      </c>
      <c r="P22" s="28">
        <v>12.4</v>
      </c>
    </row>
    <row r="23" spans="1:16">
      <c r="A23" s="30">
        <v>1959</v>
      </c>
      <c r="B23" s="28">
        <v>9615</v>
      </c>
      <c r="C23" s="28">
        <v>674</v>
      </c>
      <c r="D23" s="28">
        <v>14.3</v>
      </c>
      <c r="E23" s="36">
        <f t="shared" si="0"/>
        <v>16.448572277719244</v>
      </c>
      <c r="F23" s="28" t="s">
        <v>222</v>
      </c>
      <c r="G23" s="28" t="s">
        <v>222</v>
      </c>
      <c r="H23" s="28" t="s">
        <v>222</v>
      </c>
      <c r="K23" s="28">
        <v>10702</v>
      </c>
      <c r="L23" s="28">
        <v>1328</v>
      </c>
      <c r="M23" s="28">
        <v>8.1</v>
      </c>
      <c r="N23" s="28">
        <v>9817</v>
      </c>
      <c r="O23" s="28">
        <v>789</v>
      </c>
      <c r="P23" s="28">
        <v>12.4</v>
      </c>
    </row>
    <row r="24" spans="1:16">
      <c r="A24" s="30">
        <v>1960</v>
      </c>
      <c r="B24" s="28">
        <v>9518</v>
      </c>
      <c r="C24" s="28">
        <v>668</v>
      </c>
      <c r="D24" s="28">
        <v>14.3</v>
      </c>
      <c r="E24" s="36">
        <f t="shared" si="0"/>
        <v>16.448572277719244</v>
      </c>
      <c r="F24" s="28" t="s">
        <v>222</v>
      </c>
      <c r="G24" s="28" t="s">
        <v>222</v>
      </c>
      <c r="H24" s="28" t="s">
        <v>222</v>
      </c>
      <c r="K24" s="28">
        <v>10693</v>
      </c>
      <c r="L24" s="28">
        <v>1333</v>
      </c>
      <c r="M24" s="28">
        <v>8</v>
      </c>
      <c r="N24" s="28">
        <v>9732</v>
      </c>
      <c r="O24" s="28">
        <v>784</v>
      </c>
      <c r="P24" s="28">
        <v>12.4</v>
      </c>
    </row>
    <row r="25" spans="1:16">
      <c r="A25" s="30">
        <v>1961</v>
      </c>
      <c r="B25" s="28">
        <v>9521</v>
      </c>
      <c r="C25" s="28">
        <v>663</v>
      </c>
      <c r="D25" s="28">
        <v>14.4</v>
      </c>
      <c r="E25" s="36">
        <f t="shared" si="0"/>
        <v>16.334346081346194</v>
      </c>
      <c r="F25" s="28" t="s">
        <v>222</v>
      </c>
      <c r="G25" s="28" t="s">
        <v>222</v>
      </c>
      <c r="H25" s="28" t="s">
        <v>222</v>
      </c>
      <c r="K25" s="28">
        <v>10537</v>
      </c>
      <c r="L25" s="28">
        <v>1341</v>
      </c>
      <c r="M25" s="28">
        <v>7.9</v>
      </c>
      <c r="N25" s="28">
        <v>9708</v>
      </c>
      <c r="O25" s="28">
        <v>781</v>
      </c>
      <c r="P25" s="28">
        <v>12.4</v>
      </c>
    </row>
    <row r="26" spans="1:16">
      <c r="A26" s="30">
        <v>1962</v>
      </c>
      <c r="B26" s="28">
        <v>9494</v>
      </c>
      <c r="C26" s="28">
        <v>662</v>
      </c>
      <c r="D26" s="28">
        <v>14.3</v>
      </c>
      <c r="E26" s="36">
        <f t="shared" si="0"/>
        <v>16.448572277719244</v>
      </c>
      <c r="F26" s="28" t="s">
        <v>222</v>
      </c>
      <c r="G26" s="28" t="s">
        <v>222</v>
      </c>
      <c r="H26" s="28" t="s">
        <v>222</v>
      </c>
      <c r="K26" s="28">
        <v>10554</v>
      </c>
      <c r="L26" s="28">
        <v>1337</v>
      </c>
      <c r="M26" s="28">
        <v>7.9</v>
      </c>
      <c r="N26" s="28">
        <v>9687</v>
      </c>
      <c r="O26" s="28">
        <v>779</v>
      </c>
      <c r="P26" s="28">
        <v>12.4</v>
      </c>
    </row>
    <row r="27" spans="1:16">
      <c r="A27" s="30">
        <v>1963</v>
      </c>
      <c r="B27" s="28">
        <v>9587</v>
      </c>
      <c r="C27" s="28">
        <v>655</v>
      </c>
      <c r="D27" s="28">
        <v>14.6</v>
      </c>
      <c r="E27" s="36">
        <f t="shared" si="0"/>
        <v>16.110587915848303</v>
      </c>
      <c r="F27" s="28" t="s">
        <v>222</v>
      </c>
      <c r="G27" s="28" t="s">
        <v>222</v>
      </c>
      <c r="H27" s="28" t="s">
        <v>222</v>
      </c>
      <c r="K27" s="28">
        <v>10395</v>
      </c>
      <c r="L27" s="28">
        <v>1380</v>
      </c>
      <c r="M27" s="28">
        <v>7.5</v>
      </c>
      <c r="N27" s="28">
        <v>9737</v>
      </c>
      <c r="O27" s="28">
        <v>780</v>
      </c>
      <c r="P27" s="28">
        <v>12.5</v>
      </c>
    </row>
    <row r="28" spans="1:16">
      <c r="A28" s="30">
        <v>1964</v>
      </c>
      <c r="B28" s="28">
        <v>9665</v>
      </c>
      <c r="C28" s="28">
        <v>661</v>
      </c>
      <c r="D28" s="28">
        <v>14.6</v>
      </c>
      <c r="E28" s="36">
        <f t="shared" si="0"/>
        <v>16.110587915848303</v>
      </c>
      <c r="F28" s="28" t="s">
        <v>222</v>
      </c>
      <c r="G28" s="28" t="s">
        <v>222</v>
      </c>
      <c r="H28" s="28" t="s">
        <v>222</v>
      </c>
      <c r="K28" s="28">
        <v>10408</v>
      </c>
      <c r="L28" s="28">
        <v>1389</v>
      </c>
      <c r="M28" s="28">
        <v>7.5</v>
      </c>
      <c r="N28" s="28">
        <v>9805</v>
      </c>
      <c r="O28" s="28">
        <v>787</v>
      </c>
      <c r="P28" s="28">
        <v>12.5</v>
      </c>
    </row>
    <row r="29" spans="1:16">
      <c r="A29" s="30">
        <v>1965</v>
      </c>
      <c r="B29" s="28">
        <v>9603</v>
      </c>
      <c r="C29" s="28">
        <v>661</v>
      </c>
      <c r="D29" s="28">
        <v>14.5</v>
      </c>
      <c r="E29" s="36">
        <f t="shared" si="0"/>
        <v>16.221695418716219</v>
      </c>
      <c r="F29" s="28" t="s">
        <v>222</v>
      </c>
      <c r="G29" s="28" t="s">
        <v>222</v>
      </c>
      <c r="H29" s="28" t="s">
        <v>222</v>
      </c>
      <c r="K29" s="28">
        <v>10851</v>
      </c>
      <c r="L29" s="28">
        <v>1387</v>
      </c>
      <c r="M29" s="28">
        <v>7.8</v>
      </c>
      <c r="N29" s="28">
        <v>9826</v>
      </c>
      <c r="O29" s="28">
        <v>787</v>
      </c>
      <c r="P29" s="28">
        <v>12.5</v>
      </c>
    </row>
    <row r="30" spans="1:16">
      <c r="A30" s="30">
        <v>1966</v>
      </c>
      <c r="B30" s="28">
        <v>9733</v>
      </c>
      <c r="C30" s="28">
        <v>688</v>
      </c>
      <c r="D30" s="28">
        <v>14.1</v>
      </c>
      <c r="E30" s="36">
        <f t="shared" si="0"/>
        <v>16.681885359672709</v>
      </c>
      <c r="F30" s="28">
        <v>8077</v>
      </c>
      <c r="G30" s="28">
        <v>833</v>
      </c>
      <c r="H30" s="28">
        <v>9.6999999999999993</v>
      </c>
      <c r="I30" s="207">
        <f>(B30+F30)/(C30+G30)</f>
        <v>11.709401709401709</v>
      </c>
      <c r="J30" s="211">
        <f>$B$5/I30</f>
        <v>20.087668815950416</v>
      </c>
      <c r="K30" s="28">
        <v>12537</v>
      </c>
      <c r="L30" s="28">
        <v>2250</v>
      </c>
      <c r="M30" s="28">
        <v>5.6</v>
      </c>
      <c r="N30" s="28">
        <v>9675</v>
      </c>
      <c r="O30" s="28">
        <v>780</v>
      </c>
      <c r="P30" s="28">
        <v>12.4</v>
      </c>
    </row>
    <row r="31" spans="1:16">
      <c r="A31" s="30">
        <v>1967</v>
      </c>
      <c r="B31" s="28">
        <v>9849</v>
      </c>
      <c r="C31" s="28">
        <v>699</v>
      </c>
      <c r="D31" s="28">
        <v>14.1</v>
      </c>
      <c r="E31" s="36">
        <f t="shared" si="0"/>
        <v>16.681885359672709</v>
      </c>
      <c r="F31" s="28">
        <v>7877</v>
      </c>
      <c r="G31" s="28">
        <v>801</v>
      </c>
      <c r="H31" s="28">
        <v>9.8000000000000007</v>
      </c>
      <c r="I31" s="207">
        <f t="shared" ref="I31:I82" si="1">(B31+F31)/(C31+G31)</f>
        <v>11.817333333333334</v>
      </c>
      <c r="J31" s="211">
        <f t="shared" ref="J31:J82" si="2">$B$5/I31</f>
        <v>19.904201475633407</v>
      </c>
      <c r="K31" s="28">
        <v>12789</v>
      </c>
      <c r="L31" s="28">
        <v>2294</v>
      </c>
      <c r="M31" s="28">
        <v>5.6</v>
      </c>
      <c r="N31" s="28">
        <v>9751</v>
      </c>
      <c r="O31" s="28">
        <v>786</v>
      </c>
      <c r="P31" s="28">
        <v>12.4</v>
      </c>
    </row>
    <row r="32" spans="1:16">
      <c r="A32" s="30">
        <v>1968</v>
      </c>
      <c r="B32" s="28">
        <v>9922</v>
      </c>
      <c r="C32" s="28">
        <v>714</v>
      </c>
      <c r="D32" s="28">
        <v>13.9</v>
      </c>
      <c r="E32" s="36">
        <f t="shared" si="0"/>
        <v>16.921912487150014</v>
      </c>
      <c r="F32" s="28">
        <v>8376</v>
      </c>
      <c r="G32" s="28">
        <v>849</v>
      </c>
      <c r="H32" s="28">
        <v>9.9</v>
      </c>
      <c r="I32" s="207">
        <f t="shared" si="1"/>
        <v>11.706973768394114</v>
      </c>
      <c r="J32" s="211">
        <f t="shared" si="2"/>
        <v>20.091834852009786</v>
      </c>
      <c r="K32" s="28">
        <v>12402</v>
      </c>
      <c r="L32" s="28">
        <v>2240</v>
      </c>
      <c r="M32" s="28">
        <v>5.5</v>
      </c>
      <c r="N32" s="28">
        <v>9864</v>
      </c>
      <c r="O32" s="28">
        <v>805</v>
      </c>
      <c r="P32" s="28">
        <v>12.2</v>
      </c>
    </row>
    <row r="33" spans="1:16">
      <c r="A33" s="30">
        <v>1969</v>
      </c>
      <c r="B33" s="28">
        <v>9921</v>
      </c>
      <c r="C33" s="28">
        <v>727</v>
      </c>
      <c r="D33" s="28">
        <v>13.6</v>
      </c>
      <c r="E33" s="36">
        <f t="shared" si="0"/>
        <v>17.295189968484205</v>
      </c>
      <c r="F33" s="28">
        <v>8355</v>
      </c>
      <c r="G33" s="28">
        <v>851</v>
      </c>
      <c r="H33" s="28">
        <v>9.8000000000000007</v>
      </c>
      <c r="I33" s="207">
        <f t="shared" si="1"/>
        <v>11.581749049429657</v>
      </c>
      <c r="J33" s="211">
        <f t="shared" si="2"/>
        <v>20.309072711514876</v>
      </c>
      <c r="K33" s="28">
        <v>13484</v>
      </c>
      <c r="L33" s="28">
        <v>2459</v>
      </c>
      <c r="M33" s="28">
        <v>5.5</v>
      </c>
      <c r="N33" s="28">
        <v>9885</v>
      </c>
      <c r="O33" s="28">
        <v>821</v>
      </c>
      <c r="P33" s="28">
        <v>12</v>
      </c>
    </row>
    <row r="34" spans="1:16">
      <c r="A34" s="30">
        <v>1970</v>
      </c>
      <c r="B34" s="28">
        <v>9989</v>
      </c>
      <c r="C34" s="28">
        <v>737</v>
      </c>
      <c r="D34" s="28">
        <v>13.5</v>
      </c>
      <c r="E34" s="36">
        <f t="shared" si="0"/>
        <v>17.423302486769273</v>
      </c>
      <c r="F34" s="28">
        <v>8676</v>
      </c>
      <c r="G34" s="28">
        <v>866</v>
      </c>
      <c r="H34" s="28">
        <v>10</v>
      </c>
      <c r="I34" s="207">
        <f t="shared" si="1"/>
        <v>11.643792888334373</v>
      </c>
      <c r="J34" s="211">
        <f t="shared" si="2"/>
        <v>20.200856012050924</v>
      </c>
      <c r="K34" s="28">
        <v>13565</v>
      </c>
      <c r="L34" s="28">
        <v>2467</v>
      </c>
      <c r="M34" s="28">
        <v>5.5</v>
      </c>
      <c r="N34" s="28">
        <v>9976</v>
      </c>
      <c r="O34" s="28">
        <v>830</v>
      </c>
      <c r="P34" s="28">
        <v>12</v>
      </c>
    </row>
    <row r="35" spans="1:16">
      <c r="A35" s="30">
        <v>1971</v>
      </c>
      <c r="B35" s="28">
        <v>10097</v>
      </c>
      <c r="C35" s="28">
        <v>743</v>
      </c>
      <c r="D35" s="28">
        <v>13.6</v>
      </c>
      <c r="E35" s="36">
        <f t="shared" si="0"/>
        <v>17.295189968484205</v>
      </c>
      <c r="F35" s="28">
        <v>9082</v>
      </c>
      <c r="G35" s="28">
        <v>888</v>
      </c>
      <c r="H35" s="28">
        <v>10.199999999999999</v>
      </c>
      <c r="I35" s="207">
        <f t="shared" si="1"/>
        <v>11.75904353157572</v>
      </c>
      <c r="J35" s="211">
        <f t="shared" si="2"/>
        <v>20.002866979765852</v>
      </c>
      <c r="K35" s="28">
        <v>14117</v>
      </c>
      <c r="L35" s="28">
        <v>2519</v>
      </c>
      <c r="M35" s="28">
        <v>5.6</v>
      </c>
      <c r="N35" s="28">
        <v>10133</v>
      </c>
      <c r="O35" s="28">
        <v>839</v>
      </c>
      <c r="P35" s="28">
        <v>12.1</v>
      </c>
    </row>
    <row r="36" spans="1:16">
      <c r="A36" s="30">
        <v>1972</v>
      </c>
      <c r="B36" s="28">
        <v>10171</v>
      </c>
      <c r="C36" s="28">
        <v>754</v>
      </c>
      <c r="D36" s="28">
        <v>13.5</v>
      </c>
      <c r="E36" s="36">
        <f t="shared" si="0"/>
        <v>17.423302486769273</v>
      </c>
      <c r="F36" s="28">
        <v>9534</v>
      </c>
      <c r="G36" s="28">
        <v>922</v>
      </c>
      <c r="H36" s="28">
        <v>10.3</v>
      </c>
      <c r="I36" s="207">
        <f t="shared" si="1"/>
        <v>11.757159904534607</v>
      </c>
      <c r="J36" s="211">
        <f t="shared" si="2"/>
        <v>20.006071660271076</v>
      </c>
      <c r="K36" s="28">
        <v>14780</v>
      </c>
      <c r="L36" s="28">
        <v>2657</v>
      </c>
      <c r="M36" s="28">
        <v>5.6</v>
      </c>
      <c r="N36" s="28">
        <v>10279</v>
      </c>
      <c r="O36" s="28">
        <v>857</v>
      </c>
      <c r="P36" s="28">
        <v>12</v>
      </c>
    </row>
    <row r="37" spans="1:16">
      <c r="A37" s="30">
        <v>1973</v>
      </c>
      <c r="B37" s="28">
        <v>9884</v>
      </c>
      <c r="C37" s="28">
        <v>737</v>
      </c>
      <c r="D37" s="28">
        <v>13.4</v>
      </c>
      <c r="E37" s="36">
        <f t="shared" si="0"/>
        <v>17.553327132192923</v>
      </c>
      <c r="F37" s="28">
        <v>9779</v>
      </c>
      <c r="G37" s="28">
        <v>931</v>
      </c>
      <c r="H37" s="28">
        <v>10.5</v>
      </c>
      <c r="I37" s="207">
        <f t="shared" si="1"/>
        <v>11.788369304556355</v>
      </c>
      <c r="J37" s="211">
        <f t="shared" si="2"/>
        <v>19.95310610776944</v>
      </c>
      <c r="K37" s="28">
        <v>15370</v>
      </c>
      <c r="L37" s="28">
        <v>2775</v>
      </c>
      <c r="M37" s="28">
        <v>5.5</v>
      </c>
      <c r="N37" s="28">
        <v>10099</v>
      </c>
      <c r="O37" s="28">
        <v>850</v>
      </c>
      <c r="P37" s="28">
        <v>11.9</v>
      </c>
    </row>
    <row r="38" spans="1:16">
      <c r="A38" s="30">
        <v>1974</v>
      </c>
      <c r="B38" s="28">
        <v>9221</v>
      </c>
      <c r="C38" s="28">
        <v>677</v>
      </c>
      <c r="D38" s="28">
        <v>13.6</v>
      </c>
      <c r="E38" s="36">
        <f t="shared" si="0"/>
        <v>17.295189968484205</v>
      </c>
      <c r="F38" s="28">
        <v>9452</v>
      </c>
      <c r="G38" s="28">
        <v>862</v>
      </c>
      <c r="H38" s="28">
        <v>11</v>
      </c>
      <c r="I38" s="207">
        <f t="shared" si="1"/>
        <v>12.133203378817415</v>
      </c>
      <c r="J38" s="211">
        <f t="shared" si="2"/>
        <v>19.386024962050115</v>
      </c>
      <c r="K38" s="28">
        <v>14995</v>
      </c>
      <c r="L38" s="28">
        <v>2708</v>
      </c>
      <c r="M38" s="28">
        <v>5.5</v>
      </c>
      <c r="N38" s="28">
        <v>9493</v>
      </c>
      <c r="O38" s="28">
        <v>788</v>
      </c>
      <c r="P38" s="28">
        <v>12</v>
      </c>
    </row>
    <row r="39" spans="1:16">
      <c r="A39" s="30">
        <v>1975</v>
      </c>
      <c r="B39" s="28">
        <v>9309</v>
      </c>
      <c r="C39" s="28">
        <v>665</v>
      </c>
      <c r="D39" s="28">
        <v>14</v>
      </c>
      <c r="E39" s="36">
        <f t="shared" si="0"/>
        <v>16.80104168367037</v>
      </c>
      <c r="F39" s="28">
        <v>9829</v>
      </c>
      <c r="G39" s="28">
        <v>934</v>
      </c>
      <c r="H39" s="28">
        <v>10.5</v>
      </c>
      <c r="I39" s="207">
        <f t="shared" si="1"/>
        <v>11.968730456535335</v>
      </c>
      <c r="J39" s="211">
        <f t="shared" si="2"/>
        <v>19.652425495383266</v>
      </c>
      <c r="K39" s="28">
        <v>15167</v>
      </c>
      <c r="L39" s="28">
        <v>2722</v>
      </c>
      <c r="M39" s="28">
        <v>5.6</v>
      </c>
      <c r="N39" s="28">
        <v>9627</v>
      </c>
      <c r="O39" s="28">
        <v>790</v>
      </c>
      <c r="P39" s="28">
        <v>12.2</v>
      </c>
    </row>
    <row r="40" spans="1:16">
      <c r="A40" s="30">
        <v>1976</v>
      </c>
      <c r="B40" s="28">
        <v>9418</v>
      </c>
      <c r="C40" s="28">
        <v>681</v>
      </c>
      <c r="D40" s="28">
        <v>13.8</v>
      </c>
      <c r="E40" s="36">
        <f t="shared" si="0"/>
        <v>17.044535041404725</v>
      </c>
      <c r="F40" s="28">
        <v>10127</v>
      </c>
      <c r="G40" s="28">
        <v>934</v>
      </c>
      <c r="H40" s="28">
        <v>10.8</v>
      </c>
      <c r="I40" s="207">
        <f t="shared" si="1"/>
        <v>12.102167182662539</v>
      </c>
      <c r="J40" s="211">
        <f t="shared" si="2"/>
        <v>19.435740724880382</v>
      </c>
      <c r="K40" s="28">
        <v>15438</v>
      </c>
      <c r="L40" s="28">
        <v>2764</v>
      </c>
      <c r="M40" s="28">
        <v>5.6</v>
      </c>
      <c r="N40" s="28">
        <v>9774</v>
      </c>
      <c r="O40" s="28">
        <v>806</v>
      </c>
      <c r="P40" s="28">
        <v>12.1</v>
      </c>
    </row>
    <row r="41" spans="1:16">
      <c r="A41" s="30">
        <v>1977</v>
      </c>
      <c r="B41" s="28">
        <v>9517</v>
      </c>
      <c r="C41" s="28">
        <v>676</v>
      </c>
      <c r="D41" s="28">
        <v>14.1</v>
      </c>
      <c r="E41" s="36">
        <f t="shared" si="0"/>
        <v>16.681885359672709</v>
      </c>
      <c r="F41" s="28">
        <v>10607</v>
      </c>
      <c r="G41" s="28">
        <v>947</v>
      </c>
      <c r="H41" s="28">
        <v>11.2</v>
      </c>
      <c r="I41" s="207">
        <f t="shared" si="1"/>
        <v>12.399260628465804</v>
      </c>
      <c r="J41" s="211">
        <f t="shared" si="2"/>
        <v>18.970049152075042</v>
      </c>
      <c r="K41" s="28">
        <v>16700</v>
      </c>
      <c r="L41" s="28">
        <v>3002</v>
      </c>
      <c r="M41" s="28">
        <v>5.6</v>
      </c>
      <c r="N41" s="28">
        <v>9978</v>
      </c>
      <c r="O41" s="28">
        <v>814</v>
      </c>
      <c r="P41" s="28">
        <v>12.3</v>
      </c>
    </row>
    <row r="42" spans="1:16">
      <c r="A42" s="30">
        <v>1978</v>
      </c>
      <c r="B42" s="28">
        <v>9500</v>
      </c>
      <c r="C42" s="28">
        <v>665</v>
      </c>
      <c r="D42" s="28">
        <v>14.3</v>
      </c>
      <c r="E42" s="36">
        <f t="shared" si="0"/>
        <v>16.448572277719244</v>
      </c>
      <c r="F42" s="28">
        <v>10968</v>
      </c>
      <c r="G42" s="28">
        <v>948</v>
      </c>
      <c r="H42" s="28">
        <v>11.6</v>
      </c>
      <c r="I42" s="207">
        <f t="shared" si="1"/>
        <v>12.689398636081835</v>
      </c>
      <c r="J42" s="211">
        <f t="shared" si="2"/>
        <v>18.536306590807325</v>
      </c>
      <c r="K42" s="28">
        <v>18045</v>
      </c>
      <c r="L42" s="28">
        <v>3263</v>
      </c>
      <c r="M42" s="28">
        <v>5.5</v>
      </c>
      <c r="N42" s="28">
        <v>10077</v>
      </c>
      <c r="O42" s="28">
        <v>816</v>
      </c>
      <c r="P42" s="28">
        <v>12.4</v>
      </c>
    </row>
    <row r="43" spans="1:16">
      <c r="A43" s="30">
        <v>1979</v>
      </c>
      <c r="B43" s="28">
        <v>9062</v>
      </c>
      <c r="C43" s="28">
        <v>620</v>
      </c>
      <c r="D43" s="28">
        <v>14.6</v>
      </c>
      <c r="E43" s="36">
        <f t="shared" si="0"/>
        <v>16.110587915848303</v>
      </c>
      <c r="F43" s="28">
        <v>10802</v>
      </c>
      <c r="G43" s="28">
        <v>905</v>
      </c>
      <c r="H43" s="28">
        <v>11.9</v>
      </c>
      <c r="I43" s="207">
        <f t="shared" si="1"/>
        <v>13.025573770491803</v>
      </c>
      <c r="J43" s="211">
        <f t="shared" si="2"/>
        <v>18.057905756462063</v>
      </c>
      <c r="K43" s="28">
        <v>18502</v>
      </c>
      <c r="L43" s="28">
        <v>3380</v>
      </c>
      <c r="M43" s="28">
        <v>5.5</v>
      </c>
      <c r="N43" s="28">
        <v>9722</v>
      </c>
      <c r="O43" s="28">
        <v>776</v>
      </c>
      <c r="P43" s="28">
        <v>12.5</v>
      </c>
    </row>
    <row r="44" spans="1:16">
      <c r="A44" s="30">
        <v>1980</v>
      </c>
      <c r="B44" s="28">
        <v>8813</v>
      </c>
      <c r="C44" s="28">
        <v>551</v>
      </c>
      <c r="D44" s="28">
        <v>16</v>
      </c>
      <c r="E44" s="36">
        <f t="shared" si="0"/>
        <v>14.700911473211574</v>
      </c>
      <c r="F44" s="28">
        <v>10437</v>
      </c>
      <c r="G44" s="28">
        <v>854</v>
      </c>
      <c r="H44" s="28">
        <v>12.2</v>
      </c>
      <c r="I44" s="207">
        <f t="shared" si="1"/>
        <v>13.701067615658364</v>
      </c>
      <c r="J44" s="211">
        <f t="shared" si="2"/>
        <v>17.167609865859543</v>
      </c>
      <c r="K44" s="28">
        <v>18736</v>
      </c>
      <c r="L44" s="28">
        <v>3447</v>
      </c>
      <c r="M44" s="28">
        <v>5.4</v>
      </c>
      <c r="N44" s="28">
        <v>9458</v>
      </c>
      <c r="O44" s="28">
        <v>712</v>
      </c>
      <c r="P44" s="28">
        <v>13.3</v>
      </c>
    </row>
    <row r="45" spans="1:16">
      <c r="A45" s="30">
        <v>1981</v>
      </c>
      <c r="B45" s="28">
        <v>8873</v>
      </c>
      <c r="C45" s="28">
        <v>538</v>
      </c>
      <c r="D45" s="28">
        <v>16.5</v>
      </c>
      <c r="E45" s="36">
        <f t="shared" si="0"/>
        <v>14.255429307356678</v>
      </c>
      <c r="F45" s="28">
        <v>10244</v>
      </c>
      <c r="G45" s="28">
        <v>819</v>
      </c>
      <c r="H45" s="28">
        <v>12.5</v>
      </c>
      <c r="I45" s="207">
        <f t="shared" si="1"/>
        <v>14.087693441414887</v>
      </c>
      <c r="J45" s="211">
        <f t="shared" si="2"/>
        <v>16.69645812137729</v>
      </c>
      <c r="K45" s="28">
        <v>19016</v>
      </c>
      <c r="L45" s="28">
        <v>3565</v>
      </c>
      <c r="M45" s="28">
        <v>5.3</v>
      </c>
      <c r="N45" s="28">
        <v>9477</v>
      </c>
      <c r="O45" s="28">
        <v>697</v>
      </c>
      <c r="P45" s="28">
        <v>13.6</v>
      </c>
    </row>
    <row r="46" spans="1:16">
      <c r="A46" s="30">
        <v>1982</v>
      </c>
      <c r="B46" s="28">
        <v>9050</v>
      </c>
      <c r="C46" s="28">
        <v>535</v>
      </c>
      <c r="D46" s="28">
        <v>16.899999999999999</v>
      </c>
      <c r="E46" s="36">
        <f t="shared" si="0"/>
        <v>13.918022696531668</v>
      </c>
      <c r="F46" s="28">
        <v>10276</v>
      </c>
      <c r="G46" s="28">
        <v>762</v>
      </c>
      <c r="H46" s="28">
        <v>13.5</v>
      </c>
      <c r="I46" s="207">
        <f t="shared" si="1"/>
        <v>14.900539707016192</v>
      </c>
      <c r="J46" s="211">
        <f t="shared" si="2"/>
        <v>15.785641875819444</v>
      </c>
      <c r="K46" s="28">
        <v>19931</v>
      </c>
      <c r="L46" s="28">
        <v>3647</v>
      </c>
      <c r="M46" s="28">
        <v>5.5</v>
      </c>
      <c r="N46" s="28">
        <v>9644</v>
      </c>
      <c r="O46" s="28">
        <v>686</v>
      </c>
      <c r="P46" s="28">
        <v>14.1</v>
      </c>
    </row>
    <row r="47" spans="1:16">
      <c r="A47" s="30">
        <v>1983</v>
      </c>
      <c r="B47" s="28">
        <v>9118</v>
      </c>
      <c r="C47" s="28">
        <v>534</v>
      </c>
      <c r="D47" s="28">
        <v>17.100000000000001</v>
      </c>
      <c r="E47" s="36">
        <f t="shared" si="0"/>
        <v>13.755238805344161</v>
      </c>
      <c r="F47" s="28">
        <v>10497</v>
      </c>
      <c r="G47" s="28">
        <v>767</v>
      </c>
      <c r="H47" s="28">
        <v>13.7</v>
      </c>
      <c r="I47" s="207">
        <f t="shared" si="1"/>
        <v>15.076863950807072</v>
      </c>
      <c r="J47" s="211">
        <f t="shared" si="2"/>
        <v>15.601028459157385</v>
      </c>
      <c r="K47" s="28">
        <v>21083</v>
      </c>
      <c r="L47" s="28">
        <v>3769</v>
      </c>
      <c r="M47" s="28">
        <v>5.6</v>
      </c>
      <c r="N47" s="28">
        <v>9760</v>
      </c>
      <c r="O47" s="28">
        <v>686</v>
      </c>
      <c r="P47" s="28">
        <v>14.2</v>
      </c>
    </row>
    <row r="48" spans="1:16">
      <c r="A48" s="30">
        <v>1984</v>
      </c>
      <c r="B48" s="28">
        <v>9248</v>
      </c>
      <c r="C48" s="28">
        <v>530</v>
      </c>
      <c r="D48" s="28">
        <v>17.399999999999999</v>
      </c>
      <c r="E48" s="36">
        <f t="shared" si="0"/>
        <v>13.518079515596851</v>
      </c>
      <c r="F48" s="28">
        <v>11151</v>
      </c>
      <c r="G48" s="28">
        <v>797</v>
      </c>
      <c r="H48" s="28">
        <v>14</v>
      </c>
      <c r="I48" s="207">
        <f t="shared" si="1"/>
        <v>15.37226827430294</v>
      </c>
      <c r="J48" s="211">
        <f t="shared" si="2"/>
        <v>15.301228118987604</v>
      </c>
      <c r="K48" s="28">
        <v>22550</v>
      </c>
      <c r="L48" s="28">
        <v>3967</v>
      </c>
      <c r="M48" s="28">
        <v>5.7</v>
      </c>
      <c r="N48" s="28">
        <v>10017</v>
      </c>
      <c r="O48" s="28">
        <v>691</v>
      </c>
      <c r="P48" s="28">
        <v>14.5</v>
      </c>
    </row>
    <row r="49" spans="1:16">
      <c r="A49" s="30">
        <v>1985</v>
      </c>
      <c r="B49" s="28">
        <v>9419</v>
      </c>
      <c r="C49" s="28">
        <v>538</v>
      </c>
      <c r="D49" s="28">
        <v>17.5</v>
      </c>
      <c r="E49" s="36">
        <f t="shared" si="0"/>
        <v>13.440833346936296</v>
      </c>
      <c r="F49" s="28">
        <v>10506</v>
      </c>
      <c r="G49" s="28">
        <v>735</v>
      </c>
      <c r="H49" s="28">
        <v>14.3</v>
      </c>
      <c r="I49" s="207">
        <f t="shared" si="1"/>
        <v>15.652003142183817</v>
      </c>
      <c r="J49" s="211">
        <f t="shared" si="2"/>
        <v>15.027762353142954</v>
      </c>
      <c r="K49" s="28">
        <v>20597</v>
      </c>
      <c r="L49" s="28">
        <v>3570</v>
      </c>
      <c r="M49" s="28">
        <v>5.8</v>
      </c>
      <c r="N49" s="28">
        <v>10020</v>
      </c>
      <c r="O49" s="28">
        <v>685</v>
      </c>
      <c r="P49" s="28">
        <v>14.6</v>
      </c>
    </row>
    <row r="50" spans="1:16">
      <c r="A50" s="30">
        <v>1986</v>
      </c>
      <c r="B50" s="28">
        <v>9464</v>
      </c>
      <c r="C50" s="28">
        <v>543</v>
      </c>
      <c r="D50" s="28">
        <v>17.399999999999999</v>
      </c>
      <c r="E50" s="36">
        <f t="shared" si="0"/>
        <v>13.518079515596851</v>
      </c>
      <c r="F50" s="28">
        <v>10764</v>
      </c>
      <c r="G50" s="28">
        <v>738</v>
      </c>
      <c r="H50" s="28">
        <v>14.6</v>
      </c>
      <c r="I50" s="207">
        <f t="shared" si="1"/>
        <v>15.790788446526152</v>
      </c>
      <c r="J50" s="211">
        <f t="shared" si="2"/>
        <v>14.895683288261045</v>
      </c>
      <c r="K50" s="28">
        <v>22143</v>
      </c>
      <c r="L50" s="28">
        <v>3821</v>
      </c>
      <c r="M50" s="28">
        <v>5.8</v>
      </c>
      <c r="N50" s="28">
        <v>10143</v>
      </c>
      <c r="O50" s="28">
        <v>692</v>
      </c>
      <c r="P50" s="28">
        <v>14.7</v>
      </c>
    </row>
    <row r="51" spans="1:16">
      <c r="A51" s="30">
        <v>1987</v>
      </c>
      <c r="B51" s="28">
        <v>9720</v>
      </c>
      <c r="C51" s="28">
        <v>539</v>
      </c>
      <c r="D51" s="28">
        <v>18</v>
      </c>
      <c r="E51" s="36">
        <f t="shared" si="0"/>
        <v>13.067476865076955</v>
      </c>
      <c r="F51" s="28">
        <v>11114</v>
      </c>
      <c r="G51" s="28">
        <v>744</v>
      </c>
      <c r="H51" s="28">
        <v>14.9</v>
      </c>
      <c r="I51" s="207">
        <f t="shared" si="1"/>
        <v>16.23850350740452</v>
      </c>
      <c r="J51" s="211">
        <f t="shared" si="2"/>
        <v>14.484991394935548</v>
      </c>
      <c r="K51" s="28">
        <v>23349</v>
      </c>
      <c r="L51" s="28">
        <v>3937</v>
      </c>
      <c r="M51" s="28">
        <v>5.9</v>
      </c>
      <c r="N51" s="28">
        <v>10453</v>
      </c>
      <c r="O51" s="28">
        <v>694</v>
      </c>
      <c r="P51" s="28">
        <v>15.1</v>
      </c>
    </row>
    <row r="52" spans="1:16">
      <c r="A52" s="30">
        <v>1988</v>
      </c>
      <c r="B52" s="28">
        <v>9972</v>
      </c>
      <c r="C52" s="28">
        <v>531</v>
      </c>
      <c r="D52" s="28">
        <v>18.8</v>
      </c>
      <c r="E52" s="36">
        <f t="shared" si="0"/>
        <v>12.511414019754531</v>
      </c>
      <c r="F52" s="28">
        <v>11465</v>
      </c>
      <c r="G52" s="28">
        <v>745</v>
      </c>
      <c r="H52" s="28">
        <v>15.4</v>
      </c>
      <c r="I52" s="207">
        <f t="shared" si="1"/>
        <v>16.800156739811911</v>
      </c>
      <c r="J52" s="211">
        <f t="shared" si="2"/>
        <v>14.000737446335194</v>
      </c>
      <c r="K52" s="28">
        <v>22485</v>
      </c>
      <c r="L52" s="28">
        <v>3736</v>
      </c>
      <c r="M52" s="28">
        <v>6</v>
      </c>
      <c r="N52" s="28">
        <v>10721</v>
      </c>
      <c r="O52" s="28">
        <v>688</v>
      </c>
      <c r="P52" s="28">
        <v>15.6</v>
      </c>
    </row>
    <row r="53" spans="1:16">
      <c r="A53" s="30">
        <v>1989</v>
      </c>
      <c r="B53" s="28">
        <v>10157</v>
      </c>
      <c r="C53" s="28">
        <v>533</v>
      </c>
      <c r="D53" s="28">
        <v>19</v>
      </c>
      <c r="E53" s="36">
        <f t="shared" si="0"/>
        <v>12.379714924809747</v>
      </c>
      <c r="F53" s="28">
        <v>11676</v>
      </c>
      <c r="G53" s="28">
        <v>724</v>
      </c>
      <c r="H53" s="28">
        <v>16.100000000000001</v>
      </c>
      <c r="I53" s="207">
        <f t="shared" si="1"/>
        <v>17.369132856006363</v>
      </c>
      <c r="J53" s="211">
        <f t="shared" si="2"/>
        <v>13.542102851153356</v>
      </c>
      <c r="K53" s="28">
        <v>22926</v>
      </c>
      <c r="L53" s="28">
        <v>3776</v>
      </c>
      <c r="M53" s="28">
        <v>6.1</v>
      </c>
      <c r="N53" s="28">
        <v>10932</v>
      </c>
      <c r="O53" s="28">
        <v>688</v>
      </c>
      <c r="P53" s="28">
        <v>15.9</v>
      </c>
    </row>
    <row r="54" spans="1:16">
      <c r="A54" s="30">
        <v>1990</v>
      </c>
      <c r="B54" s="28">
        <v>10504</v>
      </c>
      <c r="C54" s="28">
        <v>520</v>
      </c>
      <c r="D54" s="28">
        <v>20.2</v>
      </c>
      <c r="E54" s="36">
        <f t="shared" si="0"/>
        <v>11.644286315415108</v>
      </c>
      <c r="F54" s="28">
        <v>11902</v>
      </c>
      <c r="G54" s="28">
        <v>738</v>
      </c>
      <c r="H54" s="28">
        <v>16.100000000000001</v>
      </c>
      <c r="I54" s="207">
        <f t="shared" si="1"/>
        <v>17.810810810810811</v>
      </c>
      <c r="J54" s="211">
        <f t="shared" si="2"/>
        <v>13.206281626921475</v>
      </c>
      <c r="K54" s="28">
        <v>23603</v>
      </c>
      <c r="L54" s="28">
        <v>3953</v>
      </c>
      <c r="M54" s="28">
        <v>6</v>
      </c>
      <c r="N54" s="28">
        <v>11107</v>
      </c>
      <c r="O54" s="28">
        <v>677</v>
      </c>
      <c r="P54" s="28">
        <v>16.399999999999999</v>
      </c>
    </row>
    <row r="55" spans="1:16">
      <c r="A55" s="30">
        <v>1991</v>
      </c>
      <c r="B55" s="28">
        <v>10571</v>
      </c>
      <c r="C55" s="28">
        <v>501</v>
      </c>
      <c r="D55" s="28">
        <v>21.1</v>
      </c>
      <c r="E55" s="36">
        <f t="shared" si="0"/>
        <v>11.147610595800245</v>
      </c>
      <c r="F55" s="28">
        <v>12245</v>
      </c>
      <c r="G55" s="28">
        <v>721</v>
      </c>
      <c r="H55" s="28">
        <v>17</v>
      </c>
      <c r="I55" s="207">
        <f t="shared" si="1"/>
        <v>18.671031096563013</v>
      </c>
      <c r="J55" s="211">
        <f t="shared" si="2"/>
        <v>12.597835778586635</v>
      </c>
      <c r="K55" s="28">
        <v>24229</v>
      </c>
      <c r="L55" s="28">
        <v>4047</v>
      </c>
      <c r="M55" s="28">
        <v>6</v>
      </c>
      <c r="N55" s="28">
        <v>11294</v>
      </c>
      <c r="O55" s="28">
        <v>669</v>
      </c>
      <c r="P55" s="28">
        <v>16.899999999999999</v>
      </c>
    </row>
    <row r="56" spans="1:16">
      <c r="A56" s="30">
        <v>1992</v>
      </c>
      <c r="B56" s="28">
        <v>10857</v>
      </c>
      <c r="C56" s="28">
        <v>517</v>
      </c>
      <c r="D56" s="28">
        <v>21</v>
      </c>
      <c r="E56" s="36">
        <f t="shared" si="0"/>
        <v>11.200694455780248</v>
      </c>
      <c r="F56" s="28">
        <v>12381</v>
      </c>
      <c r="G56" s="28">
        <v>717</v>
      </c>
      <c r="H56" s="28">
        <v>17.3</v>
      </c>
      <c r="I56" s="207">
        <f t="shared" si="1"/>
        <v>18.831442463533225</v>
      </c>
      <c r="J56" s="211">
        <f t="shared" si="2"/>
        <v>12.490523974829561</v>
      </c>
      <c r="K56" s="28">
        <v>25373</v>
      </c>
      <c r="L56" s="28">
        <v>4210</v>
      </c>
      <c r="M56" s="28">
        <v>6</v>
      </c>
      <c r="N56" s="28">
        <v>11558</v>
      </c>
      <c r="O56" s="28">
        <v>683</v>
      </c>
      <c r="P56" s="28">
        <v>16.899999999999999</v>
      </c>
    </row>
    <row r="57" spans="1:16">
      <c r="A57" s="30">
        <v>1993</v>
      </c>
      <c r="B57" s="28">
        <v>10804</v>
      </c>
      <c r="C57" s="28">
        <v>527</v>
      </c>
      <c r="D57" s="28">
        <v>20.5</v>
      </c>
      <c r="E57" s="36">
        <f t="shared" si="0"/>
        <v>11.473882125433423</v>
      </c>
      <c r="F57" s="28">
        <v>12430</v>
      </c>
      <c r="G57" s="28">
        <v>714</v>
      </c>
      <c r="H57" s="28">
        <v>17.399999999999999</v>
      </c>
      <c r="I57" s="207">
        <f t="shared" si="1"/>
        <v>18.721998388396454</v>
      </c>
      <c r="J57" s="211">
        <f t="shared" si="2"/>
        <v>12.563540424037576</v>
      </c>
      <c r="K57" s="28">
        <v>26262</v>
      </c>
      <c r="L57" s="28">
        <v>4309</v>
      </c>
      <c r="M57" s="28">
        <v>6.1</v>
      </c>
      <c r="N57" s="28">
        <v>11595</v>
      </c>
      <c r="O57" s="28">
        <v>693</v>
      </c>
      <c r="P57" s="28">
        <v>16.7</v>
      </c>
    </row>
    <row r="58" spans="1:16">
      <c r="A58" s="30">
        <v>1994</v>
      </c>
      <c r="B58" s="28">
        <v>10992</v>
      </c>
      <c r="C58" s="28">
        <v>531</v>
      </c>
      <c r="D58" s="28">
        <v>20.7</v>
      </c>
      <c r="E58" s="36">
        <f t="shared" si="0"/>
        <v>11.363023360936483</v>
      </c>
      <c r="F58" s="28">
        <v>12156</v>
      </c>
      <c r="G58" s="28">
        <v>701</v>
      </c>
      <c r="H58" s="28">
        <v>17.3</v>
      </c>
      <c r="I58" s="207">
        <f t="shared" si="1"/>
        <v>18.788961038961038</v>
      </c>
      <c r="J58" s="211">
        <f t="shared" si="2"/>
        <v>12.518764772764237</v>
      </c>
      <c r="K58" s="28">
        <v>25838</v>
      </c>
      <c r="L58" s="28">
        <v>4202</v>
      </c>
      <c r="M58" s="28">
        <v>6.1</v>
      </c>
      <c r="N58" s="28">
        <v>11683</v>
      </c>
      <c r="O58" s="28">
        <v>698</v>
      </c>
      <c r="P58" s="28">
        <v>16.7</v>
      </c>
    </row>
    <row r="59" spans="1:16">
      <c r="A59" s="30">
        <v>1995</v>
      </c>
      <c r="B59" s="28">
        <v>11203</v>
      </c>
      <c r="C59" s="28">
        <v>530</v>
      </c>
      <c r="D59" s="28">
        <v>21.1</v>
      </c>
      <c r="E59" s="36">
        <f t="shared" si="0"/>
        <v>11.147610595800245</v>
      </c>
      <c r="F59" s="28">
        <v>12018</v>
      </c>
      <c r="G59" s="28">
        <v>694</v>
      </c>
      <c r="H59" s="28">
        <v>17.3</v>
      </c>
      <c r="I59" s="207">
        <f t="shared" si="1"/>
        <v>18.971405228758169</v>
      </c>
      <c r="J59" s="211">
        <f t="shared" si="2"/>
        <v>12.398374328899509</v>
      </c>
      <c r="K59" s="28">
        <v>26514</v>
      </c>
      <c r="L59" s="28">
        <v>4315</v>
      </c>
      <c r="M59" s="28">
        <v>6.1</v>
      </c>
      <c r="N59" s="28">
        <v>11793</v>
      </c>
      <c r="O59" s="28">
        <v>700</v>
      </c>
      <c r="P59" s="28">
        <v>16.8</v>
      </c>
    </row>
    <row r="60" spans="1:16">
      <c r="A60" s="30">
        <v>1996</v>
      </c>
      <c r="B60" s="28">
        <v>11330</v>
      </c>
      <c r="C60" s="28">
        <v>534</v>
      </c>
      <c r="D60" s="28">
        <v>21.2</v>
      </c>
      <c r="E60" s="36">
        <f t="shared" si="0"/>
        <v>11.095027526952132</v>
      </c>
      <c r="F60" s="28">
        <v>11811</v>
      </c>
      <c r="G60" s="28">
        <v>685</v>
      </c>
      <c r="H60" s="28">
        <v>17.2</v>
      </c>
      <c r="I60" s="207">
        <f t="shared" si="1"/>
        <v>18.983593109105826</v>
      </c>
      <c r="J60" s="211">
        <f t="shared" si="2"/>
        <v>12.390414302472603</v>
      </c>
      <c r="K60" s="28">
        <v>26092</v>
      </c>
      <c r="L60" s="28">
        <v>4221</v>
      </c>
      <c r="M60" s="28">
        <v>6.2</v>
      </c>
      <c r="N60" s="28">
        <v>11813</v>
      </c>
      <c r="O60" s="28">
        <v>700</v>
      </c>
      <c r="P60" s="28">
        <v>16.899999999999999</v>
      </c>
    </row>
    <row r="61" spans="1:16">
      <c r="A61" s="30">
        <v>1997</v>
      </c>
      <c r="B61" s="28">
        <v>11581</v>
      </c>
      <c r="C61" s="28">
        <v>539</v>
      </c>
      <c r="D61" s="28">
        <v>21.5</v>
      </c>
      <c r="E61" s="36">
        <f t="shared" si="0"/>
        <v>10.940213189366753</v>
      </c>
      <c r="F61" s="28">
        <v>12115</v>
      </c>
      <c r="G61" s="28">
        <v>703</v>
      </c>
      <c r="H61" s="28">
        <v>17.2</v>
      </c>
      <c r="I61" s="207">
        <f t="shared" si="1"/>
        <v>19.07890499194847</v>
      </c>
      <c r="J61" s="211">
        <f t="shared" si="2"/>
        <v>12.328515901234825</v>
      </c>
      <c r="K61" s="28">
        <v>27032</v>
      </c>
      <c r="L61" s="28">
        <v>4218</v>
      </c>
      <c r="M61" s="28">
        <v>6.4</v>
      </c>
      <c r="N61" s="28">
        <v>12107</v>
      </c>
      <c r="O61" s="28">
        <v>711</v>
      </c>
      <c r="P61" s="28">
        <v>17</v>
      </c>
    </row>
    <row r="62" spans="1:16">
      <c r="A62" s="30">
        <v>1998</v>
      </c>
      <c r="B62" s="28">
        <v>11754</v>
      </c>
      <c r="C62" s="28">
        <v>544</v>
      </c>
      <c r="D62" s="28">
        <v>21.6</v>
      </c>
      <c r="E62" s="36">
        <f t="shared" si="0"/>
        <v>10.889564054230796</v>
      </c>
      <c r="F62" s="28">
        <v>12173</v>
      </c>
      <c r="G62" s="28">
        <v>707</v>
      </c>
      <c r="H62" s="28">
        <v>17.2</v>
      </c>
      <c r="I62" s="207">
        <f t="shared" si="1"/>
        <v>19.126298960831335</v>
      </c>
      <c r="J62" s="211">
        <f t="shared" si="2"/>
        <v>12.29796648337873</v>
      </c>
      <c r="K62" s="28">
        <v>25397</v>
      </c>
      <c r="L62" s="28">
        <v>4135</v>
      </c>
      <c r="M62" s="28">
        <v>6.1</v>
      </c>
      <c r="N62" s="28">
        <v>12211</v>
      </c>
      <c r="O62" s="28">
        <v>721</v>
      </c>
      <c r="P62" s="28">
        <v>16.899999999999999</v>
      </c>
    </row>
    <row r="63" spans="1:16">
      <c r="A63" s="30">
        <v>1999</v>
      </c>
      <c r="B63" s="28">
        <v>11848</v>
      </c>
      <c r="C63" s="28">
        <v>553</v>
      </c>
      <c r="D63" s="28">
        <v>21.4</v>
      </c>
      <c r="E63" s="36">
        <f t="shared" si="0"/>
        <v>10.99133568090585</v>
      </c>
      <c r="F63" s="28">
        <v>11957</v>
      </c>
      <c r="G63" s="28">
        <v>701</v>
      </c>
      <c r="H63" s="28">
        <v>17</v>
      </c>
      <c r="I63" s="207">
        <f t="shared" si="1"/>
        <v>18.983253588516746</v>
      </c>
      <c r="J63" s="211">
        <f t="shared" si="2"/>
        <v>12.390635908360304</v>
      </c>
      <c r="K63" s="28">
        <v>26014</v>
      </c>
      <c r="L63" s="28">
        <v>4352</v>
      </c>
      <c r="M63" s="28">
        <v>6</v>
      </c>
      <c r="N63" s="28">
        <v>12206</v>
      </c>
      <c r="O63" s="28">
        <v>732</v>
      </c>
      <c r="P63" s="28">
        <v>16.7</v>
      </c>
    </row>
    <row r="64" spans="1:16">
      <c r="A64" s="30">
        <v>2000</v>
      </c>
      <c r="B64" s="28">
        <v>11976</v>
      </c>
      <c r="C64" s="28">
        <v>547</v>
      </c>
      <c r="D64" s="28">
        <v>21.9</v>
      </c>
      <c r="E64" s="36">
        <f t="shared" si="0"/>
        <v>10.740391943898867</v>
      </c>
      <c r="F64" s="28">
        <v>11672</v>
      </c>
      <c r="G64" s="28">
        <v>669</v>
      </c>
      <c r="H64" s="28">
        <v>17.399999999999999</v>
      </c>
      <c r="I64" s="207">
        <f t="shared" si="1"/>
        <v>19.44736842105263</v>
      </c>
      <c r="J64" s="211">
        <f t="shared" si="2"/>
        <v>12.094931225592203</v>
      </c>
      <c r="K64" s="28">
        <v>25617</v>
      </c>
      <c r="L64" s="28">
        <v>4391</v>
      </c>
      <c r="M64" s="28">
        <v>5.8</v>
      </c>
      <c r="N64" s="28">
        <v>12164</v>
      </c>
      <c r="O64" s="28">
        <v>720</v>
      </c>
      <c r="P64" s="28">
        <v>16.899999999999999</v>
      </c>
    </row>
    <row r="65" spans="1:16">
      <c r="A65" s="30">
        <v>2001</v>
      </c>
      <c r="B65" s="28">
        <v>11831</v>
      </c>
      <c r="C65" s="28">
        <v>534</v>
      </c>
      <c r="D65" s="28">
        <v>22.1</v>
      </c>
      <c r="E65" s="36">
        <f t="shared" si="0"/>
        <v>10.643193826759511</v>
      </c>
      <c r="F65" s="28">
        <v>11204</v>
      </c>
      <c r="G65" s="28">
        <v>636</v>
      </c>
      <c r="H65" s="28">
        <v>17.600000000000001</v>
      </c>
      <c r="I65" s="207">
        <f t="shared" si="1"/>
        <v>19.688034188034187</v>
      </c>
      <c r="J65" s="211">
        <f t="shared" si="2"/>
        <v>11.947083254982447</v>
      </c>
      <c r="K65" s="28">
        <v>26602</v>
      </c>
      <c r="L65" s="28">
        <v>4477</v>
      </c>
      <c r="M65" s="28">
        <v>5.9</v>
      </c>
      <c r="N65" s="28">
        <v>11887</v>
      </c>
      <c r="O65" s="28">
        <v>695</v>
      </c>
      <c r="P65" s="28">
        <v>17.100000000000001</v>
      </c>
    </row>
    <row r="66" spans="1:16">
      <c r="A66" s="30">
        <v>2002</v>
      </c>
      <c r="B66" s="28">
        <v>12202</v>
      </c>
      <c r="C66" s="28">
        <v>555</v>
      </c>
      <c r="D66" s="28">
        <v>22</v>
      </c>
      <c r="E66" s="36">
        <f t="shared" si="0"/>
        <v>10.691571980517509</v>
      </c>
      <c r="F66" s="28">
        <v>11364</v>
      </c>
      <c r="G66" s="28">
        <v>650</v>
      </c>
      <c r="H66" s="28">
        <v>17.5</v>
      </c>
      <c r="I66" s="207">
        <f t="shared" si="1"/>
        <v>19.556846473029047</v>
      </c>
      <c r="J66" s="211">
        <f t="shared" si="2"/>
        <v>12.027224527010063</v>
      </c>
      <c r="K66" s="28">
        <v>27071</v>
      </c>
      <c r="L66" s="28">
        <v>4642</v>
      </c>
      <c r="M66" s="28">
        <v>5.8</v>
      </c>
      <c r="N66" s="28">
        <v>12171</v>
      </c>
      <c r="O66" s="28">
        <v>719</v>
      </c>
      <c r="P66" s="28">
        <v>16.899999999999999</v>
      </c>
    </row>
    <row r="67" spans="1:16">
      <c r="A67" s="30">
        <v>2003</v>
      </c>
      <c r="B67" s="28">
        <v>12325</v>
      </c>
      <c r="C67" s="28">
        <v>556</v>
      </c>
      <c r="D67" s="28">
        <v>22.2</v>
      </c>
      <c r="E67" s="36">
        <f t="shared" si="0"/>
        <v>10.595251512224559</v>
      </c>
      <c r="F67" s="28">
        <v>11287</v>
      </c>
      <c r="G67" s="28">
        <v>697</v>
      </c>
      <c r="H67" s="28">
        <v>16.2</v>
      </c>
      <c r="I67" s="207">
        <f t="shared" si="1"/>
        <v>18.844373503591381</v>
      </c>
      <c r="J67" s="211">
        <f t="shared" si="2"/>
        <v>12.481952956756972</v>
      </c>
      <c r="K67" s="28">
        <v>28093</v>
      </c>
      <c r="L67" s="28">
        <v>4215</v>
      </c>
      <c r="M67" s="28">
        <v>6.7</v>
      </c>
      <c r="N67" s="28">
        <v>12208</v>
      </c>
      <c r="O67" s="28">
        <v>718</v>
      </c>
      <c r="P67" s="28">
        <v>17</v>
      </c>
    </row>
    <row r="68" spans="1:16">
      <c r="A68" s="30">
        <v>2004</v>
      </c>
      <c r="B68" s="28">
        <v>12460</v>
      </c>
      <c r="C68" s="28">
        <v>553</v>
      </c>
      <c r="D68" s="28">
        <v>22.5</v>
      </c>
      <c r="E68" s="36">
        <f t="shared" si="0"/>
        <v>10.453981492061564</v>
      </c>
      <c r="F68" s="28">
        <v>11184</v>
      </c>
      <c r="G68" s="28">
        <v>690</v>
      </c>
      <c r="H68" s="28">
        <v>16.2</v>
      </c>
      <c r="I68" s="207">
        <f t="shared" si="1"/>
        <v>19.021721641190666</v>
      </c>
      <c r="J68" s="211">
        <f t="shared" si="2"/>
        <v>12.365578048521055</v>
      </c>
      <c r="K68" s="28">
        <v>27023</v>
      </c>
      <c r="L68" s="28">
        <v>4057</v>
      </c>
      <c r="M68" s="28">
        <v>6.7</v>
      </c>
      <c r="N68" s="28">
        <v>12200</v>
      </c>
      <c r="O68" s="28">
        <v>714</v>
      </c>
      <c r="P68" s="28">
        <v>17.100000000000001</v>
      </c>
    </row>
    <row r="69" spans="1:16">
      <c r="A69" s="30">
        <v>2005</v>
      </c>
      <c r="B69" s="28">
        <v>12510</v>
      </c>
      <c r="C69" s="28">
        <v>567</v>
      </c>
      <c r="D69" s="28">
        <v>22.1</v>
      </c>
      <c r="E69" s="36">
        <f t="shared" si="0"/>
        <v>10.643193826759511</v>
      </c>
      <c r="F69" s="28">
        <v>10920</v>
      </c>
      <c r="G69" s="28">
        <v>617</v>
      </c>
      <c r="H69" s="28">
        <v>17.7</v>
      </c>
      <c r="I69" s="207">
        <f t="shared" si="1"/>
        <v>19.788851351351351</v>
      </c>
      <c r="J69" s="211">
        <f t="shared" si="2"/>
        <v>11.886217112612892</v>
      </c>
      <c r="K69" s="28">
        <v>26235</v>
      </c>
      <c r="L69" s="28">
        <v>4385</v>
      </c>
      <c r="M69" s="28">
        <v>6</v>
      </c>
      <c r="N69" s="28">
        <v>12082</v>
      </c>
      <c r="O69" s="28">
        <v>706</v>
      </c>
      <c r="P69" s="28">
        <v>17.100000000000001</v>
      </c>
    </row>
    <row r="70" spans="1:16">
      <c r="A70" s="30">
        <v>2006</v>
      </c>
      <c r="B70" s="28">
        <v>12485</v>
      </c>
      <c r="C70" s="28">
        <v>554</v>
      </c>
      <c r="D70" s="28">
        <v>22.5</v>
      </c>
      <c r="E70" s="36">
        <f t="shared" si="0"/>
        <v>10.453981492061564</v>
      </c>
      <c r="F70" s="28">
        <v>10920</v>
      </c>
      <c r="G70" s="28">
        <v>612</v>
      </c>
      <c r="H70" s="28">
        <v>17.8</v>
      </c>
      <c r="I70" s="207">
        <f t="shared" si="1"/>
        <v>20.072898799313894</v>
      </c>
      <c r="J70" s="211">
        <f t="shared" si="2"/>
        <v>11.718017707508444</v>
      </c>
      <c r="K70" s="28">
        <v>25231</v>
      </c>
      <c r="L70" s="28">
        <v>4304</v>
      </c>
      <c r="M70" s="28">
        <v>5.9</v>
      </c>
      <c r="N70" s="28">
        <v>12017</v>
      </c>
      <c r="O70" s="28">
        <v>698</v>
      </c>
      <c r="P70" s="28">
        <v>17.2</v>
      </c>
    </row>
    <row r="71" spans="1:16">
      <c r="A71" s="30">
        <v>2007</v>
      </c>
      <c r="B71" s="28">
        <v>10710</v>
      </c>
      <c r="C71" s="28">
        <v>468</v>
      </c>
      <c r="D71" s="28">
        <v>22.9</v>
      </c>
      <c r="E71" s="36">
        <f t="shared" si="0"/>
        <v>10.271379195256996</v>
      </c>
      <c r="F71" s="28">
        <v>14970</v>
      </c>
      <c r="G71" s="28">
        <v>877</v>
      </c>
      <c r="H71" s="28">
        <v>17.100000000000001</v>
      </c>
      <c r="I71" s="207">
        <f t="shared" si="1"/>
        <v>19.092936802973977</v>
      </c>
      <c r="J71" s="211">
        <f t="shared" si="2"/>
        <v>12.319455409015307</v>
      </c>
      <c r="K71" s="28">
        <v>28290</v>
      </c>
      <c r="L71" s="28">
        <v>4398</v>
      </c>
      <c r="M71" s="28">
        <v>6.4</v>
      </c>
      <c r="N71" s="28">
        <v>11915</v>
      </c>
      <c r="O71" s="28">
        <v>693</v>
      </c>
      <c r="P71" s="28">
        <v>17.2</v>
      </c>
    </row>
    <row r="72" spans="1:16">
      <c r="A72" s="30">
        <v>2008</v>
      </c>
      <c r="B72" s="28">
        <v>10290</v>
      </c>
      <c r="C72" s="28">
        <v>435</v>
      </c>
      <c r="D72" s="28">
        <v>23.7</v>
      </c>
      <c r="E72" s="36">
        <f t="shared" si="0"/>
        <v>9.9246659734761682</v>
      </c>
      <c r="F72" s="28">
        <v>15256</v>
      </c>
      <c r="G72" s="28">
        <v>880</v>
      </c>
      <c r="H72" s="28">
        <v>17.3</v>
      </c>
      <c r="I72" s="207">
        <f t="shared" si="1"/>
        <v>19.42661596958175</v>
      </c>
      <c r="J72" s="211">
        <f t="shared" si="2"/>
        <v>12.107851616549421</v>
      </c>
      <c r="K72" s="28">
        <v>28573</v>
      </c>
      <c r="L72" s="28">
        <v>4387</v>
      </c>
      <c r="M72" s="28">
        <v>6.5</v>
      </c>
      <c r="N72" s="28">
        <v>11631</v>
      </c>
      <c r="O72" s="28">
        <v>667</v>
      </c>
      <c r="P72" s="28">
        <v>17.399999999999999</v>
      </c>
    </row>
    <row r="73" spans="1:16">
      <c r="A73" s="30">
        <v>2009</v>
      </c>
      <c r="B73" s="28">
        <v>10391</v>
      </c>
      <c r="C73" s="28">
        <v>442</v>
      </c>
      <c r="D73" s="28">
        <v>23.5</v>
      </c>
      <c r="E73" s="36">
        <f t="shared" si="0"/>
        <v>10.009131215803626</v>
      </c>
      <c r="F73" s="28">
        <v>15252</v>
      </c>
      <c r="G73" s="28">
        <v>882</v>
      </c>
      <c r="H73" s="28">
        <v>17.3</v>
      </c>
      <c r="I73" s="207">
        <f t="shared" si="1"/>
        <v>19.367824773413897</v>
      </c>
      <c r="J73" s="211">
        <f t="shared" si="2"/>
        <v>12.144605102699138</v>
      </c>
      <c r="K73" s="28">
        <v>26274</v>
      </c>
      <c r="L73" s="28">
        <v>4037</v>
      </c>
      <c r="M73" s="28">
        <v>6.5</v>
      </c>
      <c r="N73" s="28">
        <v>11631</v>
      </c>
      <c r="O73" s="28">
        <v>661</v>
      </c>
      <c r="P73" s="28">
        <v>17.600000000000001</v>
      </c>
    </row>
    <row r="74" spans="1:16">
      <c r="A74" s="30">
        <v>2010</v>
      </c>
      <c r="B74" s="28">
        <v>10650</v>
      </c>
      <c r="C74" s="28">
        <v>456</v>
      </c>
      <c r="D74" s="28">
        <v>23.3</v>
      </c>
      <c r="E74" s="36">
        <f t="shared" si="0"/>
        <v>10.095046505209664</v>
      </c>
      <c r="F74" s="28">
        <v>15474</v>
      </c>
      <c r="G74" s="28">
        <v>901</v>
      </c>
      <c r="H74" s="28">
        <v>17.2</v>
      </c>
      <c r="I74" s="207">
        <f t="shared" si="1"/>
        <v>19.251289609432572</v>
      </c>
      <c r="J74" s="211">
        <f t="shared" si="2"/>
        <v>12.218120881425881</v>
      </c>
      <c r="K74" s="28">
        <v>26604</v>
      </c>
      <c r="L74" s="28">
        <v>4180</v>
      </c>
      <c r="M74" s="28">
        <v>6.4</v>
      </c>
      <c r="N74" s="28">
        <v>11866</v>
      </c>
      <c r="O74" s="28">
        <v>681</v>
      </c>
      <c r="P74" s="28">
        <v>17.399999999999999</v>
      </c>
    </row>
    <row r="75" spans="1:16">
      <c r="A75" s="30">
        <v>2011</v>
      </c>
      <c r="B75" s="28">
        <v>11150</v>
      </c>
      <c r="C75" s="28">
        <v>481</v>
      </c>
      <c r="D75" s="28">
        <v>23.2</v>
      </c>
      <c r="E75" s="36">
        <f t="shared" si="0"/>
        <v>10.138559636697638</v>
      </c>
      <c r="F75" s="28">
        <v>12007</v>
      </c>
      <c r="G75" s="28">
        <v>702</v>
      </c>
      <c r="H75" s="28">
        <v>17.100000000000001</v>
      </c>
      <c r="I75" s="207">
        <f t="shared" si="1"/>
        <v>19.574809805579036</v>
      </c>
      <c r="J75" s="211">
        <f t="shared" si="2"/>
        <v>12.016187432091751</v>
      </c>
      <c r="K75" s="28">
        <v>26054</v>
      </c>
      <c r="L75" s="28">
        <v>4128</v>
      </c>
      <c r="M75" s="28">
        <v>6.3</v>
      </c>
      <c r="N75" s="28">
        <v>11652</v>
      </c>
      <c r="O75" s="28">
        <v>665</v>
      </c>
      <c r="P75" s="28">
        <v>17.5</v>
      </c>
    </row>
    <row r="76" spans="1:16">
      <c r="A76" s="30">
        <v>2012</v>
      </c>
      <c r="B76" s="28">
        <v>11262</v>
      </c>
      <c r="C76" s="28">
        <v>484</v>
      </c>
      <c r="D76" s="28">
        <v>23.3</v>
      </c>
      <c r="E76" s="36">
        <f t="shared" si="0"/>
        <v>10.095046505209664</v>
      </c>
      <c r="F76" s="28">
        <v>11885</v>
      </c>
      <c r="G76" s="28">
        <v>694</v>
      </c>
      <c r="H76" s="28">
        <v>17.100000000000001</v>
      </c>
      <c r="I76" s="207">
        <f t="shared" si="1"/>
        <v>19.649405772495754</v>
      </c>
      <c r="J76" s="211">
        <f t="shared" si="2"/>
        <v>11.970569812377059</v>
      </c>
      <c r="K76" s="28">
        <v>25255</v>
      </c>
      <c r="L76" s="28">
        <v>3973</v>
      </c>
      <c r="M76" s="28">
        <v>6.4</v>
      </c>
      <c r="N76" s="28">
        <v>11707</v>
      </c>
      <c r="O76" s="28">
        <v>665</v>
      </c>
      <c r="P76" s="28">
        <v>17.600000000000001</v>
      </c>
    </row>
    <row r="77" spans="1:16">
      <c r="A77" s="30">
        <v>2013</v>
      </c>
      <c r="B77" s="28">
        <v>11244</v>
      </c>
      <c r="C77" s="28">
        <v>480</v>
      </c>
      <c r="D77" s="28">
        <v>23.4</v>
      </c>
      <c r="E77" s="36">
        <f t="shared" si="0"/>
        <v>10.051905280828427</v>
      </c>
      <c r="F77" s="28">
        <v>11712</v>
      </c>
      <c r="G77" s="28">
        <v>683</v>
      </c>
      <c r="H77" s="28">
        <v>17.2</v>
      </c>
      <c r="I77" s="207">
        <f t="shared" si="1"/>
        <v>19.73860705073087</v>
      </c>
      <c r="J77" s="211">
        <f t="shared" si="2"/>
        <v>11.916473283390877</v>
      </c>
      <c r="K77" s="28">
        <v>25951</v>
      </c>
      <c r="L77" s="28">
        <v>4086</v>
      </c>
      <c r="M77" s="28">
        <v>6.4</v>
      </c>
      <c r="N77" s="28">
        <v>11679</v>
      </c>
      <c r="O77" s="28">
        <v>663</v>
      </c>
      <c r="P77" s="28">
        <v>17.600000000000001</v>
      </c>
    </row>
    <row r="78" spans="1:16">
      <c r="A78" s="30">
        <v>2014</v>
      </c>
      <c r="B78" s="28">
        <v>11048</v>
      </c>
      <c r="C78" s="28">
        <v>476</v>
      </c>
      <c r="D78" s="28">
        <v>23.2</v>
      </c>
      <c r="E78" s="36">
        <f t="shared" ref="E78:E82" si="3">$B$5/D78</f>
        <v>10.138559636697638</v>
      </c>
      <c r="F78" s="28">
        <v>12138</v>
      </c>
      <c r="G78" s="28">
        <v>710</v>
      </c>
      <c r="H78" s="28">
        <v>17.100000000000001</v>
      </c>
      <c r="I78" s="207">
        <f t="shared" si="1"/>
        <v>19.549747048903878</v>
      </c>
      <c r="J78" s="211">
        <f t="shared" si="2"/>
        <v>12.031592172675875</v>
      </c>
      <c r="K78" s="28">
        <v>25594</v>
      </c>
      <c r="L78" s="28">
        <v>4036</v>
      </c>
      <c r="M78" s="28">
        <v>6.3</v>
      </c>
      <c r="N78" s="28">
        <v>11621</v>
      </c>
      <c r="O78" s="28">
        <v>666</v>
      </c>
      <c r="P78" s="28">
        <v>17.5</v>
      </c>
    </row>
    <row r="79" spans="1:16">
      <c r="A79" s="30">
        <v>2015</v>
      </c>
      <c r="B79" s="28">
        <v>11327</v>
      </c>
      <c r="C79" s="28">
        <v>475</v>
      </c>
      <c r="D79" s="28">
        <v>23.9</v>
      </c>
      <c r="E79" s="36">
        <f t="shared" si="3"/>
        <v>9.8416143753717655</v>
      </c>
      <c r="F79" s="28">
        <v>11855</v>
      </c>
      <c r="G79" s="28">
        <v>684</v>
      </c>
      <c r="H79" s="28">
        <v>17.3</v>
      </c>
      <c r="I79" s="207">
        <f t="shared" si="1"/>
        <v>20.001725625539258</v>
      </c>
      <c r="J79" s="211">
        <f t="shared" si="2"/>
        <v>11.759714535382427</v>
      </c>
      <c r="K79" s="28">
        <v>24979</v>
      </c>
      <c r="L79" s="28">
        <v>3904</v>
      </c>
      <c r="M79" s="28">
        <v>6.4</v>
      </c>
      <c r="N79" s="28">
        <v>11742</v>
      </c>
      <c r="O79" s="28">
        <v>656</v>
      </c>
      <c r="P79" s="28">
        <v>17.899999999999999</v>
      </c>
    </row>
    <row r="80" spans="1:16">
      <c r="A80" s="30">
        <v>2016</v>
      </c>
      <c r="B80" s="28">
        <v>11370</v>
      </c>
      <c r="C80" s="28">
        <v>475</v>
      </c>
      <c r="D80" s="28">
        <v>24</v>
      </c>
      <c r="E80" s="36">
        <f t="shared" si="3"/>
        <v>9.8006076488077163</v>
      </c>
      <c r="F80" s="28">
        <v>11991</v>
      </c>
      <c r="G80" s="28">
        <v>689</v>
      </c>
      <c r="H80" s="28">
        <v>17.399999999999999</v>
      </c>
      <c r="I80" s="207">
        <f t="shared" si="1"/>
        <v>20.069587628865978</v>
      </c>
      <c r="J80" s="211">
        <f t="shared" si="2"/>
        <v>11.719950998548537</v>
      </c>
      <c r="K80" s="28">
        <v>25037</v>
      </c>
      <c r="L80" s="28">
        <v>3904</v>
      </c>
      <c r="M80" s="28">
        <v>6.4</v>
      </c>
      <c r="N80" s="28">
        <v>11810</v>
      </c>
      <c r="O80" s="28">
        <v>658</v>
      </c>
      <c r="P80" s="28">
        <v>17.899999999999999</v>
      </c>
    </row>
    <row r="81" spans="1:16">
      <c r="A81" s="30">
        <v>2017</v>
      </c>
      <c r="B81" s="28">
        <v>11467</v>
      </c>
      <c r="C81" s="28">
        <v>474</v>
      </c>
      <c r="D81" s="28">
        <v>24.2</v>
      </c>
      <c r="E81" s="36">
        <f t="shared" si="3"/>
        <v>9.7196108913795545</v>
      </c>
      <c r="F81" s="28">
        <v>11543</v>
      </c>
      <c r="G81" s="28">
        <v>659</v>
      </c>
      <c r="H81" s="28">
        <v>17.5</v>
      </c>
      <c r="I81" s="207">
        <f t="shared" si="1"/>
        <v>20.308914386584288</v>
      </c>
      <c r="J81" s="211">
        <f t="shared" si="2"/>
        <v>11.581839338825704</v>
      </c>
      <c r="K81" s="28">
        <v>24335</v>
      </c>
      <c r="L81" s="28">
        <v>3758</v>
      </c>
      <c r="M81" s="28">
        <v>6.5</v>
      </c>
      <c r="N81" s="28">
        <v>11789</v>
      </c>
      <c r="O81" s="28">
        <v>653</v>
      </c>
      <c r="P81" s="28">
        <v>18.100000000000001</v>
      </c>
    </row>
    <row r="82" spans="1:16">
      <c r="A82" s="30">
        <v>2018</v>
      </c>
      <c r="B82" s="28">
        <v>11576</v>
      </c>
      <c r="C82" s="28">
        <v>475</v>
      </c>
      <c r="D82" s="28">
        <v>24.4</v>
      </c>
      <c r="E82" s="36">
        <f t="shared" si="3"/>
        <v>9.6399419496469338</v>
      </c>
      <c r="F82" s="28">
        <v>11486</v>
      </c>
      <c r="G82" s="28">
        <v>643</v>
      </c>
      <c r="H82" s="28">
        <v>17.899999999999999</v>
      </c>
      <c r="I82" s="207">
        <f t="shared" si="1"/>
        <v>20.627906976744185</v>
      </c>
      <c r="J82" s="211">
        <f t="shared" si="2"/>
        <v>11.402736294892405</v>
      </c>
      <c r="K82" s="28">
        <v>23037</v>
      </c>
      <c r="L82" s="28">
        <v>3507</v>
      </c>
      <c r="M82" s="28">
        <v>6.6</v>
      </c>
      <c r="N82" s="28">
        <v>11843</v>
      </c>
      <c r="O82" s="28">
        <v>651</v>
      </c>
      <c r="P82" s="28">
        <v>18.2</v>
      </c>
    </row>
  </sheetData>
  <sheetProtection formatCells="0" formatColumns="0" formatRows="0" insertColumns="0" insertRows="0" insertHyperlinks="0" deleteColumns="0" deleteRows="0" sort="0" autoFilter="0" pivotTables="0"/>
  <hyperlinks>
    <hyperlink ref="A4" r:id="rId1" display="http://www.eia.gov/totalenergy/data/monthly/dataunits.cfm" xr:uid="{00000000-0004-0000-0600-000000000000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theme="9" tint="0.59999389629810485"/>
  </sheetPr>
  <dimension ref="A1:G57"/>
  <sheetViews>
    <sheetView topLeftCell="A52" zoomScale="85" zoomScaleNormal="85" workbookViewId="0">
      <selection activeCell="I74" sqref="I74"/>
    </sheetView>
  </sheetViews>
  <sheetFormatPr defaultRowHeight="14.4"/>
  <cols>
    <col min="1" max="1" width="18" customWidth="1"/>
  </cols>
  <sheetData>
    <row r="1" spans="1:7">
      <c r="A1" t="s">
        <v>21</v>
      </c>
    </row>
    <row r="3" spans="1:7">
      <c r="B3" s="20" t="s">
        <v>563</v>
      </c>
      <c r="C3" s="20"/>
      <c r="D3" s="20"/>
      <c r="E3" s="20"/>
    </row>
    <row r="4" spans="1:7">
      <c r="B4" s="8" t="s">
        <v>561</v>
      </c>
      <c r="C4" s="8"/>
      <c r="D4" s="8"/>
      <c r="E4" s="8"/>
      <c r="F4" s="8"/>
      <c r="G4" s="8"/>
    </row>
    <row r="5" spans="1:7">
      <c r="B5" s="17">
        <v>2005</v>
      </c>
      <c r="C5" s="17">
        <v>2010</v>
      </c>
      <c r="D5" s="17">
        <v>2015</v>
      </c>
      <c r="E5" s="17">
        <v>2017</v>
      </c>
    </row>
    <row r="6" spans="1:7">
      <c r="A6" s="14" t="s">
        <v>81</v>
      </c>
      <c r="B6">
        <v>6.1</v>
      </c>
      <c r="C6">
        <v>6.38</v>
      </c>
      <c r="D6">
        <v>5.24</v>
      </c>
      <c r="E6">
        <v>5.14</v>
      </c>
    </row>
    <row r="7" spans="1:7">
      <c r="A7" s="14" t="s">
        <v>76</v>
      </c>
      <c r="B7">
        <v>6.48</v>
      </c>
      <c r="C7">
        <v>6</v>
      </c>
      <c r="D7">
        <v>5.05</v>
      </c>
      <c r="E7">
        <v>5.24</v>
      </c>
    </row>
    <row r="8" spans="1:7">
      <c r="A8" s="14" t="s">
        <v>100</v>
      </c>
      <c r="B8">
        <v>8.19</v>
      </c>
      <c r="C8">
        <v>6.57</v>
      </c>
      <c r="D8">
        <v>5.33</v>
      </c>
      <c r="E8">
        <v>5.33</v>
      </c>
    </row>
    <row r="9" spans="1:7">
      <c r="A9" s="14" t="s">
        <v>47</v>
      </c>
      <c r="B9">
        <v>6.86</v>
      </c>
      <c r="C9">
        <v>6.38</v>
      </c>
      <c r="D9">
        <v>5.62</v>
      </c>
      <c r="E9">
        <v>5.62</v>
      </c>
    </row>
    <row r="10" spans="1:7">
      <c r="A10" s="276" t="s">
        <v>101</v>
      </c>
      <c r="B10" s="277">
        <v>7.52</v>
      </c>
      <c r="C10" s="277">
        <v>6.48</v>
      </c>
      <c r="D10" s="277">
        <v>5.62</v>
      </c>
      <c r="E10" s="277">
        <v>5.62</v>
      </c>
    </row>
    <row r="11" spans="1:7">
      <c r="A11" s="14" t="s">
        <v>102</v>
      </c>
      <c r="B11">
        <v>7.52</v>
      </c>
      <c r="C11">
        <v>6.86</v>
      </c>
      <c r="D11">
        <v>5.81</v>
      </c>
      <c r="E11">
        <v>5.9</v>
      </c>
    </row>
    <row r="12" spans="1:7">
      <c r="A12" s="14" t="s">
        <v>41</v>
      </c>
      <c r="B12">
        <v>7.81</v>
      </c>
      <c r="C12">
        <v>7.05</v>
      </c>
      <c r="D12">
        <v>6.1</v>
      </c>
      <c r="E12">
        <v>6.19</v>
      </c>
    </row>
    <row r="13" spans="1:7">
      <c r="A13" s="14" t="s">
        <v>103</v>
      </c>
      <c r="B13">
        <v>8.1</v>
      </c>
      <c r="C13">
        <v>7.14</v>
      </c>
      <c r="D13">
        <v>6.29</v>
      </c>
      <c r="E13">
        <v>6.29</v>
      </c>
    </row>
    <row r="14" spans="1:7">
      <c r="A14" s="14" t="s">
        <v>104</v>
      </c>
      <c r="B14">
        <v>8.76</v>
      </c>
      <c r="C14">
        <v>8.1</v>
      </c>
      <c r="D14">
        <v>6.95</v>
      </c>
      <c r="E14">
        <v>6.86</v>
      </c>
    </row>
    <row r="15" spans="1:7">
      <c r="A15" s="14" t="s">
        <v>105</v>
      </c>
      <c r="B15">
        <v>8.19</v>
      </c>
      <c r="C15">
        <v>7.81</v>
      </c>
      <c r="D15">
        <v>7.52</v>
      </c>
      <c r="E15">
        <v>7.14</v>
      </c>
    </row>
    <row r="16" spans="1:7">
      <c r="A16" s="14" t="s">
        <v>106</v>
      </c>
      <c r="B16">
        <v>8.86</v>
      </c>
      <c r="C16">
        <v>8.3800000000000008</v>
      </c>
      <c r="D16">
        <v>7.52</v>
      </c>
      <c r="E16">
        <v>7.33</v>
      </c>
    </row>
    <row r="17" spans="1:5">
      <c r="A17" s="14" t="s">
        <v>107</v>
      </c>
      <c r="B17">
        <v>9.33</v>
      </c>
      <c r="C17">
        <v>8.48</v>
      </c>
      <c r="D17">
        <v>7.9</v>
      </c>
      <c r="E17">
        <v>7.52</v>
      </c>
    </row>
    <row r="18" spans="1:5">
      <c r="A18" s="14" t="s">
        <v>48</v>
      </c>
      <c r="B18">
        <v>8.3800000000000008</v>
      </c>
      <c r="C18">
        <v>8.67</v>
      </c>
      <c r="D18">
        <v>7.71</v>
      </c>
      <c r="E18">
        <v>7.52</v>
      </c>
    </row>
    <row r="19" spans="1:5">
      <c r="A19" s="14" t="s">
        <v>45</v>
      </c>
      <c r="B19">
        <v>8.67</v>
      </c>
      <c r="C19">
        <v>8.57</v>
      </c>
      <c r="D19">
        <v>7.9</v>
      </c>
      <c r="E19">
        <v>7.52</v>
      </c>
    </row>
    <row r="20" spans="1:5">
      <c r="A20" s="14" t="s">
        <v>44</v>
      </c>
      <c r="B20">
        <v>9.0500000000000007</v>
      </c>
      <c r="C20">
        <v>9.52</v>
      </c>
      <c r="D20">
        <v>7.52</v>
      </c>
      <c r="E20">
        <v>7.52</v>
      </c>
    </row>
    <row r="21" spans="1:5">
      <c r="A21" s="14" t="s">
        <v>108</v>
      </c>
      <c r="B21">
        <v>8.2899999999999991</v>
      </c>
      <c r="C21">
        <v>7.9</v>
      </c>
      <c r="D21">
        <v>7.62</v>
      </c>
      <c r="E21">
        <v>7.9</v>
      </c>
    </row>
    <row r="22" spans="1:5">
      <c r="A22" s="14" t="s">
        <v>67</v>
      </c>
      <c r="B22">
        <v>10.48</v>
      </c>
      <c r="C22">
        <v>9.43</v>
      </c>
      <c r="D22">
        <v>8</v>
      </c>
      <c r="E22">
        <v>8</v>
      </c>
    </row>
    <row r="23" spans="1:5">
      <c r="A23" s="14" t="s">
        <v>53</v>
      </c>
      <c r="B23">
        <v>8.48</v>
      </c>
      <c r="C23">
        <v>8.57</v>
      </c>
      <c r="D23">
        <v>8.1</v>
      </c>
      <c r="E23">
        <v>7.81</v>
      </c>
    </row>
    <row r="24" spans="1:5">
      <c r="A24" s="14" t="s">
        <v>109</v>
      </c>
      <c r="B24">
        <v>8.57</v>
      </c>
      <c r="C24">
        <v>8.86</v>
      </c>
      <c r="D24">
        <v>7.9</v>
      </c>
      <c r="E24">
        <v>7.9</v>
      </c>
    </row>
    <row r="25" spans="1:5">
      <c r="A25" s="14" t="s">
        <v>55</v>
      </c>
      <c r="D25">
        <v>8.19</v>
      </c>
      <c r="E25">
        <v>7.9</v>
      </c>
    </row>
    <row r="26" spans="1:5">
      <c r="A26" s="14" t="s">
        <v>110</v>
      </c>
      <c r="B26">
        <v>9.43</v>
      </c>
      <c r="C26">
        <v>8.76</v>
      </c>
      <c r="D26">
        <v>8.2899999999999991</v>
      </c>
      <c r="E26">
        <v>8.2899999999999991</v>
      </c>
    </row>
    <row r="27" spans="1:5">
      <c r="A27" s="14" t="s">
        <v>111</v>
      </c>
      <c r="D27">
        <v>8.67</v>
      </c>
      <c r="E27">
        <v>8.3800000000000008</v>
      </c>
    </row>
    <row r="28" spans="1:5">
      <c r="A28" s="14" t="s">
        <v>112</v>
      </c>
      <c r="B28">
        <v>11.14</v>
      </c>
      <c r="C28">
        <v>9.33</v>
      </c>
      <c r="D28">
        <v>8.67</v>
      </c>
      <c r="E28">
        <v>8.57</v>
      </c>
    </row>
    <row r="29" spans="1:5">
      <c r="A29" s="14" t="s">
        <v>43</v>
      </c>
      <c r="B29">
        <v>10.19</v>
      </c>
      <c r="C29">
        <v>9.33</v>
      </c>
      <c r="D29">
        <v>8.76</v>
      </c>
      <c r="E29">
        <v>8.86</v>
      </c>
    </row>
    <row r="33" spans="1:5">
      <c r="A33" s="14" t="s">
        <v>562</v>
      </c>
    </row>
    <row r="34" spans="1:5">
      <c r="A34" s="14" t="s">
        <v>81</v>
      </c>
      <c r="B34" s="9">
        <f>B6/B$28</f>
        <v>0.54757630161579884</v>
      </c>
      <c r="C34" s="9">
        <f t="shared" ref="C34:E34" si="0">C6/C$28</f>
        <v>0.6838156484458735</v>
      </c>
      <c r="D34" s="9">
        <f t="shared" si="0"/>
        <v>0.60438292964244522</v>
      </c>
      <c r="E34" s="9">
        <f t="shared" si="0"/>
        <v>0.59976662777129519</v>
      </c>
    </row>
    <row r="35" spans="1:5">
      <c r="A35" s="14" t="s">
        <v>76</v>
      </c>
      <c r="B35" s="9">
        <f t="shared" ref="B35:E57" si="1">B7/B$28</f>
        <v>0.58168761220825849</v>
      </c>
      <c r="C35" s="9">
        <f t="shared" si="1"/>
        <v>0.64308681672025725</v>
      </c>
      <c r="D35" s="9">
        <f t="shared" si="1"/>
        <v>0.58246828143021911</v>
      </c>
      <c r="E35" s="9">
        <f t="shared" si="1"/>
        <v>0.61143523920653442</v>
      </c>
    </row>
    <row r="36" spans="1:5">
      <c r="A36" s="14" t="s">
        <v>100</v>
      </c>
      <c r="B36" s="9">
        <f t="shared" si="1"/>
        <v>0.73518850987432671</v>
      </c>
      <c r="C36" s="9">
        <f t="shared" si="1"/>
        <v>0.70418006430868174</v>
      </c>
      <c r="D36" s="9">
        <f t="shared" si="1"/>
        <v>0.61476355247981551</v>
      </c>
      <c r="E36" s="9">
        <f t="shared" si="1"/>
        <v>0.62193698949824971</v>
      </c>
    </row>
    <row r="37" spans="1:5">
      <c r="A37" s="14" t="s">
        <v>47</v>
      </c>
      <c r="B37" s="9">
        <f t="shared" si="1"/>
        <v>0.61579892280071813</v>
      </c>
      <c r="C37" s="9">
        <f t="shared" si="1"/>
        <v>0.6838156484458735</v>
      </c>
      <c r="D37" s="9">
        <f t="shared" si="1"/>
        <v>0.64821222606689732</v>
      </c>
      <c r="E37" s="9">
        <f t="shared" si="1"/>
        <v>0.65577596266044336</v>
      </c>
    </row>
    <row r="38" spans="1:5">
      <c r="A38" s="14" t="s">
        <v>101</v>
      </c>
      <c r="B38" s="9">
        <f t="shared" si="1"/>
        <v>0.67504488330341106</v>
      </c>
      <c r="C38" s="9">
        <f t="shared" si="1"/>
        <v>0.69453376205787787</v>
      </c>
      <c r="D38" s="9">
        <f t="shared" si="1"/>
        <v>0.64821222606689732</v>
      </c>
      <c r="E38" s="9">
        <f t="shared" si="1"/>
        <v>0.65577596266044336</v>
      </c>
    </row>
    <row r="39" spans="1:5">
      <c r="A39" s="14" t="s">
        <v>102</v>
      </c>
      <c r="B39" s="9">
        <f t="shared" si="1"/>
        <v>0.67504488330341106</v>
      </c>
      <c r="C39" s="9">
        <f t="shared" si="1"/>
        <v>0.73526259378349412</v>
      </c>
      <c r="D39" s="9">
        <f t="shared" si="1"/>
        <v>0.67012687427912332</v>
      </c>
      <c r="E39" s="9">
        <f t="shared" si="1"/>
        <v>0.68844807467911318</v>
      </c>
    </row>
    <row r="40" spans="1:5">
      <c r="A40" s="14" t="s">
        <v>41</v>
      </c>
      <c r="B40" s="9">
        <f t="shared" si="1"/>
        <v>0.70107719928186707</v>
      </c>
      <c r="C40" s="9">
        <f t="shared" si="1"/>
        <v>0.75562700964630225</v>
      </c>
      <c r="D40" s="9">
        <f t="shared" si="1"/>
        <v>0.70357554786620524</v>
      </c>
      <c r="E40" s="9">
        <f t="shared" si="1"/>
        <v>0.72228704784130693</v>
      </c>
    </row>
    <row r="41" spans="1:5">
      <c r="A41" s="14" t="s">
        <v>103</v>
      </c>
      <c r="B41" s="9">
        <f t="shared" si="1"/>
        <v>0.72710951526032308</v>
      </c>
      <c r="C41" s="9">
        <f t="shared" si="1"/>
        <v>0.76527331189710612</v>
      </c>
      <c r="D41" s="9">
        <f t="shared" si="1"/>
        <v>0.72549019607843135</v>
      </c>
      <c r="E41" s="9">
        <f t="shared" si="1"/>
        <v>0.73395565927654605</v>
      </c>
    </row>
    <row r="42" spans="1:5">
      <c r="A42" s="14" t="s">
        <v>104</v>
      </c>
      <c r="B42" s="9">
        <f t="shared" si="1"/>
        <v>0.78635547576301612</v>
      </c>
      <c r="C42" s="9">
        <f t="shared" si="1"/>
        <v>0.86816720257234725</v>
      </c>
      <c r="D42" s="9">
        <f t="shared" si="1"/>
        <v>0.80161476355247985</v>
      </c>
      <c r="E42" s="9">
        <f t="shared" si="1"/>
        <v>0.80046674445740962</v>
      </c>
    </row>
    <row r="43" spans="1:5">
      <c r="A43" s="14" t="s">
        <v>105</v>
      </c>
      <c r="B43" s="9">
        <f t="shared" si="1"/>
        <v>0.73518850987432671</v>
      </c>
      <c r="C43" s="9">
        <f t="shared" si="1"/>
        <v>0.83708467309753476</v>
      </c>
      <c r="D43" s="9">
        <f t="shared" si="1"/>
        <v>0.86735870818915795</v>
      </c>
      <c r="E43" s="9">
        <f t="shared" si="1"/>
        <v>0.83313885647607933</v>
      </c>
    </row>
    <row r="44" spans="1:5">
      <c r="A44" s="14" t="s">
        <v>106</v>
      </c>
      <c r="B44" s="9">
        <f t="shared" si="1"/>
        <v>0.79533213644524225</v>
      </c>
      <c r="C44" s="9">
        <f t="shared" si="1"/>
        <v>0.89817792068595936</v>
      </c>
      <c r="D44" s="9">
        <f t="shared" si="1"/>
        <v>0.86735870818915795</v>
      </c>
      <c r="E44" s="9">
        <f t="shared" si="1"/>
        <v>0.85530921820303385</v>
      </c>
    </row>
    <row r="45" spans="1:5">
      <c r="A45" s="14" t="s">
        <v>107</v>
      </c>
      <c r="B45" s="9">
        <f t="shared" si="1"/>
        <v>0.83752244165170553</v>
      </c>
      <c r="C45" s="9">
        <f t="shared" si="1"/>
        <v>0.90889603429796362</v>
      </c>
      <c r="D45" s="9">
        <f t="shared" si="1"/>
        <v>0.91118800461361016</v>
      </c>
      <c r="E45" s="9">
        <f t="shared" si="1"/>
        <v>0.87747957992998826</v>
      </c>
    </row>
    <row r="46" spans="1:5">
      <c r="A46" s="14" t="s">
        <v>48</v>
      </c>
      <c r="B46" s="9">
        <f t="shared" si="1"/>
        <v>0.75224416517055659</v>
      </c>
      <c r="C46" s="9">
        <f t="shared" si="1"/>
        <v>0.92926045016077174</v>
      </c>
      <c r="D46" s="9">
        <f t="shared" si="1"/>
        <v>0.88927335640138405</v>
      </c>
      <c r="E46" s="9">
        <f t="shared" si="1"/>
        <v>0.87747957992998826</v>
      </c>
    </row>
    <row r="47" spans="1:5">
      <c r="A47" s="14" t="s">
        <v>45</v>
      </c>
      <c r="B47" s="9">
        <f t="shared" si="1"/>
        <v>0.77827648114901249</v>
      </c>
      <c r="C47" s="9">
        <f t="shared" si="1"/>
        <v>0.91854233654876749</v>
      </c>
      <c r="D47" s="9">
        <f t="shared" si="1"/>
        <v>0.91118800461361016</v>
      </c>
      <c r="E47" s="9">
        <f t="shared" si="1"/>
        <v>0.87747957992998826</v>
      </c>
    </row>
    <row r="48" spans="1:5">
      <c r="A48" s="14" t="s">
        <v>44</v>
      </c>
      <c r="B48" s="9">
        <f t="shared" si="1"/>
        <v>0.81238779174147224</v>
      </c>
      <c r="C48" s="9">
        <f t="shared" si="1"/>
        <v>1.020364415862808</v>
      </c>
      <c r="D48" s="9">
        <f t="shared" si="1"/>
        <v>0.86735870818915795</v>
      </c>
      <c r="E48" s="9">
        <f t="shared" si="1"/>
        <v>0.87747957992998826</v>
      </c>
    </row>
    <row r="49" spans="1:5">
      <c r="A49" s="14" t="s">
        <v>108</v>
      </c>
      <c r="B49" s="9">
        <f t="shared" si="1"/>
        <v>0.74416517055655285</v>
      </c>
      <c r="C49" s="9">
        <f t="shared" si="1"/>
        <v>0.84673097534833874</v>
      </c>
      <c r="D49" s="9">
        <f t="shared" si="1"/>
        <v>0.87889273356401387</v>
      </c>
      <c r="E49" s="9">
        <f t="shared" si="1"/>
        <v>0.92182030338389731</v>
      </c>
    </row>
    <row r="50" spans="1:5">
      <c r="A50" s="14" t="s">
        <v>67</v>
      </c>
      <c r="B50" s="9">
        <f t="shared" si="1"/>
        <v>0.94075403949730696</v>
      </c>
      <c r="C50" s="9">
        <f t="shared" si="1"/>
        <v>1.0107181136120043</v>
      </c>
      <c r="D50" s="9">
        <f t="shared" si="1"/>
        <v>0.92272202998846597</v>
      </c>
      <c r="E50" s="9">
        <f t="shared" si="1"/>
        <v>0.93348891481913654</v>
      </c>
    </row>
    <row r="51" spans="1:5">
      <c r="A51" s="14" t="s">
        <v>53</v>
      </c>
      <c r="B51" s="9">
        <f t="shared" si="1"/>
        <v>0.76122082585278272</v>
      </c>
      <c r="C51" s="9">
        <f t="shared" si="1"/>
        <v>0.91854233654876749</v>
      </c>
      <c r="D51" s="9">
        <f t="shared" si="1"/>
        <v>0.93425605536332179</v>
      </c>
      <c r="E51" s="9">
        <f t="shared" si="1"/>
        <v>0.9113185530921819</v>
      </c>
    </row>
    <row r="52" spans="1:5">
      <c r="A52" s="14" t="s">
        <v>109</v>
      </c>
      <c r="B52" s="9">
        <f t="shared" si="1"/>
        <v>0.76929982046678635</v>
      </c>
      <c r="C52" s="9">
        <f t="shared" si="1"/>
        <v>0.94962486602357976</v>
      </c>
      <c r="D52" s="9">
        <f t="shared" si="1"/>
        <v>0.91118800461361016</v>
      </c>
      <c r="E52" s="9">
        <f t="shared" si="1"/>
        <v>0.92182030338389731</v>
      </c>
    </row>
    <row r="53" spans="1:5">
      <c r="A53" s="14" t="s">
        <v>55</v>
      </c>
      <c r="B53" s="9"/>
      <c r="C53" s="9"/>
      <c r="D53" s="9">
        <f t="shared" ref="D53:E53" si="2">D25/D$28</f>
        <v>0.94463667820069197</v>
      </c>
      <c r="E53" s="9">
        <f t="shared" si="2"/>
        <v>0.92182030338389731</v>
      </c>
    </row>
    <row r="54" spans="1:5">
      <c r="A54" s="14" t="s">
        <v>110</v>
      </c>
      <c r="B54" s="9">
        <f t="shared" si="1"/>
        <v>0.84649910233393166</v>
      </c>
      <c r="C54" s="9">
        <f t="shared" si="1"/>
        <v>0.93890675241157551</v>
      </c>
      <c r="D54" s="9">
        <f t="shared" si="1"/>
        <v>0.95617070357554779</v>
      </c>
      <c r="E54" s="9">
        <f t="shared" si="1"/>
        <v>0.96732788798133007</v>
      </c>
    </row>
    <row r="55" spans="1:5">
      <c r="A55" s="14" t="s">
        <v>111</v>
      </c>
      <c r="B55" s="9"/>
      <c r="C55" s="9"/>
      <c r="D55" s="9">
        <f t="shared" si="1"/>
        <v>1</v>
      </c>
      <c r="E55" s="9">
        <f t="shared" si="1"/>
        <v>0.97782963827304559</v>
      </c>
    </row>
    <row r="56" spans="1:5">
      <c r="A56" s="14" t="s">
        <v>112</v>
      </c>
      <c r="B56" s="9">
        <f t="shared" si="1"/>
        <v>1</v>
      </c>
      <c r="C56" s="9">
        <f t="shared" si="1"/>
        <v>1</v>
      </c>
      <c r="D56" s="9">
        <f t="shared" si="1"/>
        <v>1</v>
      </c>
      <c r="E56" s="9">
        <f t="shared" si="1"/>
        <v>1</v>
      </c>
    </row>
    <row r="57" spans="1:5">
      <c r="A57" s="14" t="s">
        <v>43</v>
      </c>
      <c r="B57" s="9">
        <f t="shared" si="1"/>
        <v>0.91472172351885095</v>
      </c>
      <c r="C57" s="9">
        <f t="shared" si="1"/>
        <v>1</v>
      </c>
      <c r="D57" s="9">
        <f t="shared" si="1"/>
        <v>1.0103806228373702</v>
      </c>
      <c r="E57" s="9">
        <f t="shared" si="1"/>
        <v>1.0338389731621935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32:AN98"/>
  <sheetViews>
    <sheetView topLeftCell="A10" workbookViewId="0">
      <selection activeCell="B26" sqref="B26"/>
    </sheetView>
  </sheetViews>
  <sheetFormatPr defaultRowHeight="14.4"/>
  <cols>
    <col min="6" max="6" width="10" style="23" bestFit="1" customWidth="1"/>
    <col min="7" max="10" width="10.109375" style="23" customWidth="1"/>
    <col min="11" max="11" width="10.6640625" style="23" bestFit="1" customWidth="1"/>
    <col min="12" max="12" width="10.33203125" style="23" bestFit="1" customWidth="1"/>
    <col min="13" max="14" width="10.33203125" style="23" customWidth="1"/>
    <col min="15" max="15" width="12.6640625" style="23" customWidth="1"/>
    <col min="16" max="16" width="12.88671875" style="23" customWidth="1"/>
  </cols>
  <sheetData>
    <row r="32" spans="2:16" s="23" customFormat="1" ht="57.6">
      <c r="B32" s="23" t="s">
        <v>487</v>
      </c>
      <c r="C32" s="23" t="s">
        <v>488</v>
      </c>
      <c r="F32" s="23" t="s">
        <v>490</v>
      </c>
      <c r="G32" s="23" t="s">
        <v>193</v>
      </c>
      <c r="H32" s="23" t="s">
        <v>193</v>
      </c>
      <c r="I32" s="23" t="s">
        <v>193</v>
      </c>
      <c r="J32" s="23" t="s">
        <v>193</v>
      </c>
      <c r="K32" s="23" t="s">
        <v>193</v>
      </c>
      <c r="L32" s="23" t="s">
        <v>193</v>
      </c>
      <c r="M32" s="23" t="s">
        <v>193</v>
      </c>
      <c r="N32" s="23" t="s">
        <v>193</v>
      </c>
      <c r="O32" s="23" t="s">
        <v>192</v>
      </c>
      <c r="P32" s="23" t="s">
        <v>194</v>
      </c>
    </row>
    <row r="33" spans="1:40" s="205" customFormat="1" ht="43.2">
      <c r="B33" s="205" t="s">
        <v>494</v>
      </c>
      <c r="C33" s="205" t="s">
        <v>494</v>
      </c>
      <c r="F33" s="205" t="s">
        <v>494</v>
      </c>
      <c r="G33" s="205" t="s">
        <v>491</v>
      </c>
      <c r="H33" s="205" t="s">
        <v>491</v>
      </c>
      <c r="I33" s="205" t="s">
        <v>491</v>
      </c>
      <c r="J33" s="205" t="s">
        <v>491</v>
      </c>
      <c r="K33" s="205" t="s">
        <v>491</v>
      </c>
      <c r="L33" s="205" t="s">
        <v>491</v>
      </c>
      <c r="M33" s="205" t="s">
        <v>491</v>
      </c>
      <c r="N33" s="205" t="s">
        <v>491</v>
      </c>
      <c r="O33" s="205" t="s">
        <v>498</v>
      </c>
      <c r="Q33" s="205" t="s">
        <v>494</v>
      </c>
    </row>
    <row r="34" spans="1:40" s="23" customFormat="1" ht="28.8">
      <c r="B34" s="23" t="s">
        <v>489</v>
      </c>
      <c r="C34" s="23" t="s">
        <v>489</v>
      </c>
    </row>
    <row r="35" spans="1:40" s="23" customFormat="1">
      <c r="B35" s="23" t="s">
        <v>495</v>
      </c>
      <c r="C35" s="23" t="s">
        <v>495</v>
      </c>
      <c r="D35" s="23" t="s">
        <v>495</v>
      </c>
      <c r="E35" s="23" t="s">
        <v>495</v>
      </c>
      <c r="F35" s="23" t="s">
        <v>495</v>
      </c>
      <c r="G35" s="23" t="s">
        <v>495</v>
      </c>
      <c r="H35" s="23" t="s">
        <v>495</v>
      </c>
      <c r="I35" s="23" t="s">
        <v>495</v>
      </c>
      <c r="J35" s="23" t="s">
        <v>495</v>
      </c>
      <c r="K35" s="23" t="s">
        <v>495</v>
      </c>
      <c r="L35" s="23" t="s">
        <v>495</v>
      </c>
      <c r="M35" s="23" t="s">
        <v>495</v>
      </c>
      <c r="N35" s="23" t="s">
        <v>495</v>
      </c>
      <c r="O35" s="23" t="s">
        <v>495</v>
      </c>
      <c r="P35" s="23" t="s">
        <v>496</v>
      </c>
    </row>
    <row r="36" spans="1:40">
      <c r="B36" s="23" t="s">
        <v>86</v>
      </c>
      <c r="C36" s="23" t="s">
        <v>86</v>
      </c>
      <c r="D36" s="23" t="s">
        <v>86</v>
      </c>
      <c r="E36" s="23" t="s">
        <v>86</v>
      </c>
      <c r="F36" s="23" t="s">
        <v>86</v>
      </c>
      <c r="G36" s="23" t="s">
        <v>86</v>
      </c>
      <c r="H36" s="23" t="s">
        <v>86</v>
      </c>
      <c r="I36" s="23" t="s">
        <v>86</v>
      </c>
      <c r="J36" s="23" t="s">
        <v>86</v>
      </c>
      <c r="K36" s="23" t="s">
        <v>86</v>
      </c>
      <c r="L36" s="23" t="s">
        <v>86</v>
      </c>
      <c r="M36" s="23" t="s">
        <v>86</v>
      </c>
      <c r="N36" s="23" t="s">
        <v>86</v>
      </c>
      <c r="O36" s="23" t="s">
        <v>86</v>
      </c>
      <c r="P36" s="23" t="s">
        <v>86</v>
      </c>
      <c r="Q36" s="23" t="s">
        <v>86</v>
      </c>
      <c r="R36" s="23" t="s">
        <v>86</v>
      </c>
      <c r="S36" s="23" t="s">
        <v>86</v>
      </c>
      <c r="T36" s="23" t="s">
        <v>86</v>
      </c>
      <c r="U36" s="23" t="s">
        <v>86</v>
      </c>
    </row>
    <row r="37" spans="1:40" ht="43.2">
      <c r="B37" t="s">
        <v>77</v>
      </c>
      <c r="C37" t="s">
        <v>223</v>
      </c>
      <c r="D37" t="s">
        <v>200</v>
      </c>
      <c r="E37" t="s">
        <v>201</v>
      </c>
      <c r="F37" s="23" t="s">
        <v>191</v>
      </c>
      <c r="G37" s="23" t="s">
        <v>41</v>
      </c>
      <c r="H37" s="23" t="s">
        <v>42</v>
      </c>
      <c r="I37" s="23" t="s">
        <v>49</v>
      </c>
      <c r="J37" s="23" t="s">
        <v>45</v>
      </c>
      <c r="K37" s="23" t="s">
        <v>44</v>
      </c>
      <c r="L37" s="23" t="s">
        <v>492</v>
      </c>
      <c r="M37" s="23" t="s">
        <v>47</v>
      </c>
      <c r="N37" s="23" t="s">
        <v>48</v>
      </c>
      <c r="O37" s="23" t="s">
        <v>223</v>
      </c>
      <c r="P37" s="23" t="s">
        <v>497</v>
      </c>
      <c r="Q37" s="23" t="s">
        <v>199</v>
      </c>
      <c r="R37" s="23" t="s">
        <v>198</v>
      </c>
      <c r="S37" s="23" t="s">
        <v>197</v>
      </c>
      <c r="T37" s="23" t="s">
        <v>196</v>
      </c>
      <c r="U37" s="23" t="s">
        <v>195</v>
      </c>
      <c r="V37" t="str">
        <f>'8_ICCT 2014'!B38</f>
        <v>S.Korea</v>
      </c>
      <c r="W37" t="str">
        <f>'8_ICCT 2014'!C38</f>
        <v>US</v>
      </c>
      <c r="X37" t="str">
        <f>'8_ICCT 2014'!D38</f>
        <v>China</v>
      </c>
      <c r="Y37" t="str">
        <f>'8_ICCT 2014'!E38</f>
        <v>Canada</v>
      </c>
      <c r="Z37" t="str">
        <f>'8_ICCT 2014'!F38</f>
        <v>EU</v>
      </c>
      <c r="AA37" t="str">
        <f>'8_ICCT 2014'!G38</f>
        <v>India</v>
      </c>
      <c r="AB37" t="str">
        <f>'8_ICCT 2014'!H38</f>
        <v>Japan</v>
      </c>
      <c r="AC37" t="str">
        <f>'8_ICCT 2014'!I38</f>
        <v>Brazil</v>
      </c>
      <c r="AD37" t="str">
        <f>'8_ICCT 2014'!J38</f>
        <v>Mexico</v>
      </c>
      <c r="AE37" t="str">
        <f>'Tietge 2017'!B5</f>
        <v>China</v>
      </c>
      <c r="AF37" t="str">
        <f>'Tietge 2017'!C5</f>
        <v>S.Korea</v>
      </c>
      <c r="AG37" t="str">
        <f>'Tietge 2017'!D5</f>
        <v>US</v>
      </c>
      <c r="AH37" t="str">
        <f>'Tietge 2017'!E5</f>
        <v>Canada</v>
      </c>
      <c r="AI37" t="str">
        <f>'Tietge 2017'!F5</f>
        <v>EU</v>
      </c>
      <c r="AJ37" t="str">
        <f>'Tietge 2017'!G5</f>
        <v>India</v>
      </c>
      <c r="AK37" t="str">
        <f>'Tietge 2017'!H5</f>
        <v>Japan</v>
      </c>
      <c r="AL37" t="str">
        <f>'Tietge 2017'!I5</f>
        <v>Mexico</v>
      </c>
      <c r="AM37" t="str">
        <f>'Tietge 2017'!J5</f>
        <v>Brazil</v>
      </c>
      <c r="AN37" t="str">
        <f>'Tietge 2017'!K5</f>
        <v>KSA</v>
      </c>
    </row>
    <row r="38" spans="1:40">
      <c r="A38">
        <v>1960</v>
      </c>
      <c r="B38" s="9">
        <v>11.35789144327418</v>
      </c>
      <c r="C38" s="9">
        <f>'1_USA Table 1.8 realworld'!E24</f>
        <v>16.448572277719244</v>
      </c>
      <c r="D38" s="9">
        <v>10</v>
      </c>
      <c r="E38" s="9">
        <v>18</v>
      </c>
    </row>
    <row r="39" spans="1:40">
      <c r="A39">
        <v>1961</v>
      </c>
      <c r="B39" s="9">
        <v>10.860243524305778</v>
      </c>
      <c r="C39" s="9">
        <f>'1_USA Table 1.8 realworld'!E25</f>
        <v>16.334346081346194</v>
      </c>
      <c r="D39" s="9">
        <v>9.9</v>
      </c>
      <c r="E39" s="9">
        <v>17.850000000000001</v>
      </c>
    </row>
    <row r="40" spans="1:40">
      <c r="A40">
        <v>1962</v>
      </c>
      <c r="B40" s="9">
        <v>10.720909011792211</v>
      </c>
      <c r="C40" s="9">
        <f>'1_USA Table 1.8 realworld'!E26</f>
        <v>16.448572277719244</v>
      </c>
      <c r="D40" s="9">
        <v>9.8000000000000007</v>
      </c>
      <c r="E40" s="9">
        <v>17.7</v>
      </c>
    </row>
    <row r="41" spans="1:40">
      <c r="A41">
        <v>1963</v>
      </c>
      <c r="B41" s="9">
        <v>10.511777801714002</v>
      </c>
      <c r="C41" s="9">
        <f>'1_USA Table 1.8 realworld'!E27</f>
        <v>16.110587915848303</v>
      </c>
      <c r="D41" s="9">
        <v>9.6999999999999993</v>
      </c>
      <c r="E41" s="9">
        <v>17.55</v>
      </c>
    </row>
    <row r="42" spans="1:40">
      <c r="A42">
        <v>1964</v>
      </c>
      <c r="B42" s="9">
        <v>10.294485094022551</v>
      </c>
      <c r="C42" s="9">
        <f>'1_USA Table 1.8 realworld'!E28</f>
        <v>16.110587915848303</v>
      </c>
      <c r="D42" s="9">
        <v>9.6</v>
      </c>
      <c r="E42" s="9">
        <v>17.399999999999999</v>
      </c>
    </row>
    <row r="43" spans="1:40">
      <c r="A43">
        <v>1965</v>
      </c>
      <c r="B43" s="9">
        <v>10.165676689012452</v>
      </c>
      <c r="C43" s="9">
        <f>'1_USA Table 1.8 realworld'!E29</f>
        <v>16.221695418716219</v>
      </c>
      <c r="D43" s="9">
        <v>9.5</v>
      </c>
      <c r="E43" s="9">
        <v>17.25</v>
      </c>
    </row>
    <row r="44" spans="1:40">
      <c r="A44">
        <v>1966</v>
      </c>
      <c r="B44" s="9">
        <v>9.977070529474819</v>
      </c>
      <c r="C44" s="9">
        <f>'1_USA Table 1.8 realworld'!E30</f>
        <v>16.681885359672709</v>
      </c>
      <c r="D44" s="9">
        <v>9.4</v>
      </c>
      <c r="E44" s="9">
        <v>17.100000000000001</v>
      </c>
    </row>
    <row r="45" spans="1:40">
      <c r="A45">
        <v>1967</v>
      </c>
      <c r="B45" s="9">
        <v>10.120319180402669</v>
      </c>
      <c r="C45" s="9">
        <f>'1_USA Table 1.8 realworld'!E31</f>
        <v>16.681885359672709</v>
      </c>
      <c r="D45" s="9">
        <v>9.3000000000000007</v>
      </c>
      <c r="E45" s="9">
        <v>16.95</v>
      </c>
    </row>
    <row r="46" spans="1:40">
      <c r="A46">
        <v>1968</v>
      </c>
      <c r="B46" s="9">
        <v>10.232833773511851</v>
      </c>
      <c r="C46" s="9">
        <f>'1_USA Table 1.8 realworld'!E32</f>
        <v>16.921912487150014</v>
      </c>
      <c r="D46" s="9">
        <v>9.1999999999999993</v>
      </c>
      <c r="E46" s="9">
        <v>16.8</v>
      </c>
    </row>
    <row r="47" spans="1:40">
      <c r="A47">
        <v>1969</v>
      </c>
      <c r="B47" s="9">
        <v>10.244997629924315</v>
      </c>
      <c r="C47" s="9">
        <f>'1_USA Table 1.8 realworld'!E33</f>
        <v>17.295189968484205</v>
      </c>
      <c r="D47" s="9">
        <v>9.1</v>
      </c>
      <c r="E47" s="9">
        <v>16.649999999999999</v>
      </c>
    </row>
    <row r="48" spans="1:40">
      <c r="A48">
        <v>1970</v>
      </c>
      <c r="B48" s="9">
        <v>9.6975877550927496</v>
      </c>
      <c r="C48" s="9">
        <f>'1_USA Table 1.8 realworld'!E34</f>
        <v>17.423302486769273</v>
      </c>
      <c r="D48" s="9">
        <v>9</v>
      </c>
      <c r="E48" s="9">
        <v>16.5</v>
      </c>
      <c r="Q48" s="9"/>
      <c r="R48" s="9">
        <f>'5_EEA 2000'!C33</f>
        <v>10.37</v>
      </c>
      <c r="S48" s="9">
        <f>'5_EEA 2000'!D33</f>
        <v>8.59</v>
      </c>
      <c r="T48" s="9"/>
      <c r="U48" s="9"/>
    </row>
    <row r="49" spans="1:21">
      <c r="A49">
        <v>1971</v>
      </c>
      <c r="B49" s="9">
        <v>9.6114734686379162</v>
      </c>
      <c r="C49" s="9">
        <f>'1_USA Table 1.8 realworld'!E35</f>
        <v>17.295189968484205</v>
      </c>
      <c r="D49" s="9">
        <v>8.9</v>
      </c>
      <c r="E49" s="9">
        <v>16.350000000000001</v>
      </c>
      <c r="Q49" s="9">
        <f>'5_EEA 2000'!B34</f>
        <v>9.9700000000000006</v>
      </c>
      <c r="R49" s="9">
        <f>'5_EEA 2000'!C34</f>
        <v>10.58</v>
      </c>
      <c r="S49" s="9"/>
      <c r="T49" s="9"/>
      <c r="U49" s="9"/>
    </row>
    <row r="50" spans="1:21">
      <c r="A50">
        <v>1972</v>
      </c>
      <c r="B50" s="9">
        <v>9.6866681156394812</v>
      </c>
      <c r="C50" s="9">
        <f>'1_USA Table 1.8 realworld'!E36</f>
        <v>17.423302486769273</v>
      </c>
      <c r="D50" s="9">
        <v>8.8000000000000007</v>
      </c>
      <c r="E50" s="9">
        <v>16.2</v>
      </c>
      <c r="Q50" s="9">
        <f>'5_EEA 2000'!B35</f>
        <v>10.220000000000001</v>
      </c>
      <c r="R50" s="9"/>
      <c r="S50" s="9">
        <f>'5_EEA 2000'!D35</f>
        <v>8.5399999999999991</v>
      </c>
      <c r="T50" s="9">
        <f>'5_EEA 2000'!E35</f>
        <v>9.61</v>
      </c>
      <c r="U50" s="9">
        <f>'5_EEA 2000'!F35</f>
        <v>9.66</v>
      </c>
    </row>
    <row r="51" spans="1:21">
      <c r="A51">
        <v>1973</v>
      </c>
      <c r="B51" s="9">
        <v>9.8108325994865346</v>
      </c>
      <c r="C51" s="9">
        <f>'1_USA Table 1.8 realworld'!E37</f>
        <v>17.553327132192923</v>
      </c>
      <c r="D51" s="9">
        <v>8.6999999999999993</v>
      </c>
      <c r="E51" s="9">
        <v>16.05</v>
      </c>
      <c r="Q51" s="9">
        <f>'5_EEA 2000'!B36</f>
        <v>10.02</v>
      </c>
      <c r="R51" s="9">
        <f>'5_EEA 2000'!C36</f>
        <v>10.68</v>
      </c>
      <c r="S51" s="9">
        <f>'5_EEA 2000'!D36</f>
        <v>8.9499999999999993</v>
      </c>
      <c r="T51" s="9">
        <f>'5_EEA 2000'!E36</f>
        <v>9.25</v>
      </c>
      <c r="U51" s="9"/>
    </row>
    <row r="52" spans="1:21">
      <c r="A52">
        <v>1974</v>
      </c>
      <c r="B52" s="9">
        <v>9.7218439570169313</v>
      </c>
      <c r="C52" s="9">
        <f>'1_USA Table 1.8 realworld'!E38</f>
        <v>17.295189968484205</v>
      </c>
      <c r="D52" s="9">
        <v>8.6</v>
      </c>
      <c r="E52" s="9">
        <v>15.9</v>
      </c>
      <c r="Q52" s="9">
        <f>'5_EEA 2000'!B37</f>
        <v>9.92</v>
      </c>
      <c r="R52" s="9">
        <f>'5_EEA 2000'!C37</f>
        <v>10.32</v>
      </c>
      <c r="S52" s="9">
        <f>'5_EEA 2000'!D37</f>
        <v>8.59</v>
      </c>
      <c r="T52" s="9"/>
      <c r="U52" s="9"/>
    </row>
    <row r="53" spans="1:21">
      <c r="A53">
        <v>1975</v>
      </c>
      <c r="B53" s="9">
        <v>9.4226215475656581</v>
      </c>
      <c r="C53" s="9">
        <f>'1_USA Table 1.8 realworld'!E39</f>
        <v>16.80104168367037</v>
      </c>
      <c r="D53" s="9">
        <v>8.5000000000000107</v>
      </c>
      <c r="E53" s="9">
        <v>15.75</v>
      </c>
      <c r="O53" s="24">
        <f>'3_Greene 2010'!B8</f>
        <v>14.76551058200786</v>
      </c>
      <c r="Q53" s="9"/>
      <c r="R53" s="9">
        <f>'5_EEA 2000'!C38</f>
        <v>10.68</v>
      </c>
      <c r="S53" s="9">
        <f>'5_EEA 2000'!D38</f>
        <v>8.8000000000000007</v>
      </c>
      <c r="T53" s="9">
        <f>'5_EEA 2000'!E38</f>
        <v>9.1</v>
      </c>
      <c r="U53" s="9">
        <f>'5_EEA 2000'!F38</f>
        <v>9.61</v>
      </c>
    </row>
    <row r="54" spans="1:21">
      <c r="A54">
        <v>1976</v>
      </c>
      <c r="B54" s="9">
        <v>9.3951688626803946</v>
      </c>
      <c r="C54" s="9">
        <f>'1_USA Table 1.8 realworld'!E40</f>
        <v>17.044535041404725</v>
      </c>
      <c r="D54" s="9">
        <v>8.4000000000000092</v>
      </c>
      <c r="E54" s="9">
        <v>15.6</v>
      </c>
      <c r="O54" s="24">
        <f>'3_Greene 2010'!B9</f>
        <v>13.341723401666773</v>
      </c>
      <c r="Q54" s="9">
        <f>'5_EEA 2000'!B39</f>
        <v>10.17</v>
      </c>
      <c r="R54" s="9">
        <f>'5_EEA 2000'!C39</f>
        <v>10.63</v>
      </c>
      <c r="S54" s="9">
        <f>'5_EEA 2000'!D39</f>
        <v>9.1</v>
      </c>
      <c r="T54" s="9">
        <f>'5_EEA 2000'!E39</f>
        <v>8.85</v>
      </c>
      <c r="U54" s="9"/>
    </row>
    <row r="55" spans="1:21">
      <c r="A55">
        <v>1977</v>
      </c>
      <c r="B55" s="9">
        <v>9.4907164350264477</v>
      </c>
      <c r="C55" s="9">
        <f>'1_USA Table 1.8 realworld'!E41</f>
        <v>16.681885359672709</v>
      </c>
      <c r="D55" s="9">
        <v>8.3000000000000096</v>
      </c>
      <c r="E55" s="9">
        <v>15.45</v>
      </c>
      <c r="O55" s="24">
        <f>'3_Greene 2010'!B10</f>
        <v>12.504762550312876</v>
      </c>
      <c r="Q55" s="9">
        <f>'5_EEA 2000'!B40</f>
        <v>10.27</v>
      </c>
      <c r="R55" s="9"/>
      <c r="S55" s="9"/>
      <c r="T55" s="9"/>
      <c r="U55" s="9"/>
    </row>
    <row r="56" spans="1:21">
      <c r="A56">
        <v>1978</v>
      </c>
      <c r="B56" s="9">
        <v>9.6516939138606883</v>
      </c>
      <c r="C56" s="9">
        <f>'1_USA Table 1.8 realworld'!E42</f>
        <v>16.448572277719244</v>
      </c>
      <c r="D56" s="9">
        <v>8.2000000000000099</v>
      </c>
      <c r="E56" s="9">
        <v>15.3</v>
      </c>
      <c r="O56" s="24">
        <f>'3_Greene 2010'!B11</f>
        <v>11.621273891866858</v>
      </c>
      <c r="Q56" s="9"/>
      <c r="R56" s="9">
        <f>'5_EEA 2000'!C41</f>
        <v>10.88</v>
      </c>
      <c r="S56" s="9">
        <f>'5_EEA 2000'!D41</f>
        <v>9.15</v>
      </c>
      <c r="T56" s="9">
        <f>'5_EEA 2000'!E41</f>
        <v>8.69</v>
      </c>
      <c r="U56" s="9">
        <f>'5_EEA 2000'!F41</f>
        <v>9</v>
      </c>
    </row>
    <row r="57" spans="1:21">
      <c r="A57">
        <v>1979</v>
      </c>
      <c r="B57" s="9">
        <v>9.8743314783822704</v>
      </c>
      <c r="C57" s="9">
        <f>'1_USA Table 1.8 realworld'!E43</f>
        <v>16.110587915848303</v>
      </c>
      <c r="D57" s="9">
        <v>8.1000000000000103</v>
      </c>
      <c r="E57" s="9">
        <v>15.15</v>
      </c>
      <c r="O57" s="24">
        <f>'3_Greene 2010'!B12</f>
        <v>11.547107686371389</v>
      </c>
      <c r="Q57" s="9">
        <f>'5_EEA 2000'!B42</f>
        <v>10.17</v>
      </c>
      <c r="R57" s="9"/>
      <c r="S57" s="9"/>
      <c r="T57" s="9">
        <f>'5_EEA 2000'!E42</f>
        <v>9.0500000000000007</v>
      </c>
      <c r="U57" s="9"/>
    </row>
    <row r="58" spans="1:21">
      <c r="A58">
        <v>1980</v>
      </c>
      <c r="B58" s="9">
        <v>9.4955670327439776</v>
      </c>
      <c r="C58" s="9">
        <f>'1_USA Table 1.8 realworld'!E44</f>
        <v>14.700911473211574</v>
      </c>
      <c r="D58" s="9">
        <v>8.0000000000000107</v>
      </c>
      <c r="E58" s="9">
        <v>15</v>
      </c>
      <c r="O58" s="24">
        <f>'3_Greene 2010'!B13</f>
        <v>9.895438938636314</v>
      </c>
      <c r="Q58" s="9">
        <f>'5_EEA 2000'!B43</f>
        <v>10.220000000000001</v>
      </c>
      <c r="R58" s="9">
        <f>'5_EEA 2000'!C43</f>
        <v>10.93</v>
      </c>
      <c r="S58" s="9">
        <f>'5_EEA 2000'!D43</f>
        <v>8.85</v>
      </c>
      <c r="T58" s="9">
        <f>'5_EEA 2000'!E43</f>
        <v>8.9</v>
      </c>
      <c r="U58" s="9"/>
    </row>
    <row r="59" spans="1:21">
      <c r="A59">
        <v>1981</v>
      </c>
      <c r="B59" s="9">
        <v>9.0894789615209266</v>
      </c>
      <c r="C59" s="9">
        <f>'1_USA Table 1.8 realworld'!E45</f>
        <v>14.255429307356678</v>
      </c>
      <c r="D59" s="9">
        <v>7.9000000000000101</v>
      </c>
      <c r="E59" s="9">
        <v>14.85</v>
      </c>
      <c r="O59" s="24">
        <f>'3_Greene 2010'!B14</f>
        <v>9.3302095823635529</v>
      </c>
      <c r="Q59" s="9"/>
      <c r="R59" s="9"/>
      <c r="S59" s="9">
        <f>'5_EEA 2000'!D44</f>
        <v>9.4600000000000009</v>
      </c>
      <c r="T59" s="9"/>
      <c r="U59" s="9"/>
    </row>
    <row r="60" spans="1:21">
      <c r="A60">
        <v>1982</v>
      </c>
      <c r="B60" s="9">
        <v>9.0752980737399458</v>
      </c>
      <c r="C60" s="9">
        <f>'1_USA Table 1.8 realworld'!E46</f>
        <v>13.918022696531668</v>
      </c>
      <c r="D60" s="9">
        <v>7.8000000000000096</v>
      </c>
      <c r="E60" s="9">
        <v>14.7</v>
      </c>
      <c r="O60" s="24">
        <f>'3_Greene 2010'!B15</f>
        <v>9.0051525103899372</v>
      </c>
      <c r="Q60" s="9"/>
      <c r="R60" s="9">
        <f>'5_EEA 2000'!C45</f>
        <v>10.73</v>
      </c>
      <c r="S60" s="9"/>
      <c r="T60" s="9">
        <f>'5_EEA 2000'!E45</f>
        <v>8.9</v>
      </c>
      <c r="U60" s="9"/>
    </row>
    <row r="61" spans="1:21">
      <c r="A61">
        <v>1983</v>
      </c>
      <c r="B61" s="9">
        <v>9.1110212775715329</v>
      </c>
      <c r="C61" s="9">
        <f>'1_USA Table 1.8 realworld'!E47</f>
        <v>13.755238805344161</v>
      </c>
      <c r="D61" s="9">
        <v>7.7000000000000099</v>
      </c>
      <c r="E61" s="9">
        <v>14.55</v>
      </c>
      <c r="O61" s="24">
        <f>'3_Greene 2010'!B16</f>
        <v>9.0501955972060486</v>
      </c>
      <c r="Q61" s="9">
        <f>'5_EEA 2000'!B46</f>
        <v>10.17</v>
      </c>
      <c r="R61" s="9"/>
      <c r="S61" s="9">
        <f>'5_EEA 2000'!D46</f>
        <v>9.56</v>
      </c>
      <c r="T61" s="9">
        <f>'5_EEA 2000'!E46</f>
        <v>8.9499999999999993</v>
      </c>
      <c r="U61" s="9"/>
    </row>
    <row r="62" spans="1:21">
      <c r="A62">
        <v>1984</v>
      </c>
      <c r="B62" s="9">
        <v>8.952240075034041</v>
      </c>
      <c r="C62" s="9">
        <f>'1_USA Table 1.8 realworld'!E48</f>
        <v>13.518079515596851</v>
      </c>
      <c r="D62" s="9">
        <v>7.6000000000000103</v>
      </c>
      <c r="E62" s="9">
        <v>14.4</v>
      </c>
      <c r="O62" s="24">
        <f>'3_Greene 2010'!B17</f>
        <v>9.0051525103899372</v>
      </c>
      <c r="Q62" s="9"/>
      <c r="R62" s="9">
        <f>'5_EEA 2000'!C47</f>
        <v>10.73</v>
      </c>
      <c r="S62" s="9">
        <f>'5_EEA 2000'!D47</f>
        <v>9.25</v>
      </c>
      <c r="T62" s="9">
        <f>'5_EEA 2000'!E47</f>
        <v>8.85</v>
      </c>
      <c r="U62" s="9"/>
    </row>
    <row r="63" spans="1:21">
      <c r="A63">
        <v>1985</v>
      </c>
      <c r="B63" s="9">
        <v>8.8152443479111557</v>
      </c>
      <c r="C63" s="9">
        <f>'1_USA Table 1.8 realworld'!E49</f>
        <v>13.440833346936296</v>
      </c>
      <c r="D63" s="9">
        <v>7.5000000000000098</v>
      </c>
      <c r="E63" s="9">
        <v>14.25</v>
      </c>
      <c r="F63" s="25">
        <f>'Russia realworld cars 1985 2008'!B24</f>
        <v>12</v>
      </c>
      <c r="O63" s="24">
        <f>'3_Greene 2010'!B18</f>
        <v>8.701982374080103</v>
      </c>
      <c r="Q63" s="9">
        <f>'5_EEA 2000'!B48</f>
        <v>10.119999999999999</v>
      </c>
      <c r="R63" s="9"/>
      <c r="S63" s="9"/>
      <c r="T63" s="9"/>
      <c r="U63" s="9"/>
    </row>
    <row r="64" spans="1:21">
      <c r="A64">
        <v>1986</v>
      </c>
      <c r="B64" s="9">
        <v>8.8329676978040599</v>
      </c>
      <c r="C64" s="9">
        <f>'1_USA Table 1.8 realworld'!E50</f>
        <v>13.518079515596851</v>
      </c>
      <c r="D64" s="9">
        <v>7.4000000000000101</v>
      </c>
      <c r="E64" s="9">
        <v>14.1</v>
      </c>
      <c r="F64" s="24">
        <f>F63+(F$86-F$63)/23</f>
        <v>11.956521739130435</v>
      </c>
      <c r="O64" s="24">
        <f>'3_Greene 2010'!B19</f>
        <v>8.2997383052711786</v>
      </c>
      <c r="Q64" s="9">
        <f>'5_EEA 2000'!B49</f>
        <v>10.119999999999999</v>
      </c>
      <c r="R64" s="9">
        <f>'5_EEA 2000'!C49</f>
        <v>10.58</v>
      </c>
      <c r="S64" s="9">
        <f>'5_EEA 2000'!D49</f>
        <v>8.9499999999999993</v>
      </c>
      <c r="T64" s="9">
        <f>'5_EEA 2000'!E49</f>
        <v>9.25</v>
      </c>
      <c r="U64" s="9"/>
    </row>
    <row r="65" spans="1:37">
      <c r="A65">
        <v>1987</v>
      </c>
      <c r="B65" s="9">
        <v>8.5290545229816956</v>
      </c>
      <c r="C65" s="9">
        <f>'1_USA Table 1.8 realworld'!E51</f>
        <v>13.067476865076955</v>
      </c>
      <c r="D65" s="9">
        <v>7.3000000000000096</v>
      </c>
      <c r="E65" s="9">
        <v>13.95</v>
      </c>
      <c r="F65" s="24">
        <f t="shared" ref="F65:F84" si="0">F64+(F$86-F$63)/23</f>
        <v>11.913043478260871</v>
      </c>
      <c r="O65" s="24">
        <f>'3_Greene 2010'!B20</f>
        <v>8.337985947230953</v>
      </c>
      <c r="Q65" s="9">
        <f>'5_EEA 2000'!B50</f>
        <v>9.81</v>
      </c>
      <c r="R65" s="9"/>
      <c r="S65" s="9"/>
      <c r="T65" s="9"/>
      <c r="U65" s="9">
        <f>'5_EEA 2000'!F50</f>
        <v>8.75</v>
      </c>
    </row>
    <row r="66" spans="1:37">
      <c r="A66">
        <v>1988</v>
      </c>
      <c r="B66" s="9">
        <v>8.3744852843089106</v>
      </c>
      <c r="C66" s="9">
        <f>'1_USA Table 1.8 realworld'!E52</f>
        <v>12.511414019754531</v>
      </c>
      <c r="D66" s="9">
        <v>7.2000000000000099</v>
      </c>
      <c r="E66" s="9">
        <v>13.8</v>
      </c>
      <c r="F66" s="24">
        <f t="shared" si="0"/>
        <v>11.869565217391306</v>
      </c>
      <c r="O66" s="24">
        <f>'3_Greene 2010'!B21</f>
        <v>8.1136455181574743</v>
      </c>
      <c r="Q66" s="9"/>
      <c r="R66" s="9">
        <f>'5_EEA 2000'!C51</f>
        <v>10.220000000000001</v>
      </c>
      <c r="S66" s="9">
        <f>'5_EEA 2000'!D51</f>
        <v>8.8000000000000007</v>
      </c>
      <c r="T66" s="9">
        <f>'5_EEA 2000'!E51</f>
        <v>8.9</v>
      </c>
      <c r="U66" s="9">
        <f>'5_EEA 2000'!F51</f>
        <v>8.59</v>
      </c>
    </row>
    <row r="67" spans="1:37">
      <c r="A67">
        <v>1989</v>
      </c>
      <c r="B67" s="9">
        <v>8.0652433580620038</v>
      </c>
      <c r="C67" s="9">
        <f>'1_USA Table 1.8 realworld'!E53</f>
        <v>12.379714924809747</v>
      </c>
      <c r="D67" s="9">
        <v>7.1000000000000103</v>
      </c>
      <c r="E67" s="9">
        <v>13.65</v>
      </c>
      <c r="F67" s="24">
        <f t="shared" si="0"/>
        <v>11.826086956521742</v>
      </c>
      <c r="O67" s="24">
        <f>'3_Greene 2010'!B22</f>
        <v>8.2618399568452823</v>
      </c>
      <c r="Q67" s="9">
        <f>'5_EEA 2000'!B52</f>
        <v>9.66</v>
      </c>
      <c r="R67" s="9"/>
      <c r="S67" s="9"/>
      <c r="T67" s="9">
        <f>'5_EEA 2000'!E52</f>
        <v>8.9499999999999993</v>
      </c>
      <c r="U67" s="9">
        <f>'5_EEA 2000'!F52</f>
        <v>8.34</v>
      </c>
    </row>
    <row r="68" spans="1:37">
      <c r="A68">
        <v>1990</v>
      </c>
      <c r="B68" s="9">
        <v>8.2747722532687149</v>
      </c>
      <c r="C68" s="9">
        <f>'1_USA Table 1.8 realworld'!E54</f>
        <v>11.644286315415108</v>
      </c>
      <c r="D68" s="9">
        <v>7.0000000000000098</v>
      </c>
      <c r="E68" s="9">
        <v>13.5</v>
      </c>
      <c r="F68" s="24">
        <f t="shared" si="0"/>
        <v>11.782608695652177</v>
      </c>
      <c r="O68" s="24">
        <f>'3_Greene 2010'!B23</f>
        <v>8.4155486072051957</v>
      </c>
      <c r="Q68" s="9"/>
      <c r="R68" s="9">
        <f>'5_EEA 2000'!C53</f>
        <v>10.07</v>
      </c>
      <c r="S68" s="9">
        <f>'5_EEA 2000'!D53</f>
        <v>8.64</v>
      </c>
      <c r="T68" s="9">
        <f>'5_EEA 2000'!E53</f>
        <v>8.44</v>
      </c>
      <c r="U68" s="9"/>
    </row>
    <row r="69" spans="1:37">
      <c r="A69">
        <v>1991</v>
      </c>
      <c r="B69" s="9">
        <v>8.2532100260010317</v>
      </c>
      <c r="C69" s="9">
        <f>'1_USA Table 1.8 realworld'!E55</f>
        <v>11.147610595800245</v>
      </c>
      <c r="D69" s="9">
        <v>6.9000000000000101</v>
      </c>
      <c r="E69" s="9">
        <v>13.35</v>
      </c>
      <c r="F69" s="24">
        <f t="shared" si="0"/>
        <v>11.739130434782613</v>
      </c>
      <c r="O69" s="24">
        <f>'3_Greene 2010'!B24</f>
        <v>8.3765877340236905</v>
      </c>
      <c r="Q69" s="9">
        <f>'5_EEA 2000'!B54</f>
        <v>9.51</v>
      </c>
      <c r="R69" s="9">
        <f>'5_EEA 2000'!C54</f>
        <v>9.76</v>
      </c>
      <c r="S69" s="9"/>
      <c r="T69" s="9">
        <f>'5_EEA 2000'!E54</f>
        <v>8.69</v>
      </c>
      <c r="U69" s="9"/>
    </row>
    <row r="70" spans="1:37">
      <c r="A70">
        <v>1992</v>
      </c>
      <c r="B70" s="9">
        <v>8.3573025072312781</v>
      </c>
      <c r="C70" s="9">
        <f>'1_USA Table 1.8 realworld'!E56</f>
        <v>11.200694455780248</v>
      </c>
      <c r="D70" s="9">
        <v>6.8000000000000096</v>
      </c>
      <c r="E70" s="9">
        <v>13.2</v>
      </c>
      <c r="F70" s="24">
        <f t="shared" si="0"/>
        <v>11.695652173913048</v>
      </c>
      <c r="O70" s="24">
        <f>'3_Greene 2010'!B25</f>
        <v>8.534636559193947</v>
      </c>
      <c r="Q70" s="9"/>
      <c r="R70" s="9"/>
      <c r="S70" s="9">
        <f>'5_EEA 2000'!D55</f>
        <v>8.39</v>
      </c>
      <c r="T70" s="9">
        <f>'5_EEA 2000'!E55</f>
        <v>8.44</v>
      </c>
      <c r="U70" s="9"/>
    </row>
    <row r="71" spans="1:37">
      <c r="A71">
        <v>1993</v>
      </c>
      <c r="B71" s="9">
        <v>8.4387051585840549</v>
      </c>
      <c r="C71" s="9">
        <f>'1_USA Table 1.8 realworld'!E57</f>
        <v>11.473882125433423</v>
      </c>
      <c r="D71" s="9">
        <v>6.7000000000000099</v>
      </c>
      <c r="E71" s="9">
        <v>13.0500000000001</v>
      </c>
      <c r="F71" s="24">
        <f t="shared" si="0"/>
        <v>11.652173913043484</v>
      </c>
      <c r="O71" s="24">
        <f>'3_Greene 2010'!B26</f>
        <v>8.2997383052711786</v>
      </c>
      <c r="Q71" s="9">
        <f>'5_EEA 2000'!B56</f>
        <v>9.36</v>
      </c>
      <c r="R71" s="9">
        <f>'5_EEA 2000'!C56</f>
        <v>9.81</v>
      </c>
      <c r="S71" s="9">
        <f>'5_EEA 2000'!D56</f>
        <v>8.2899999999999991</v>
      </c>
      <c r="T71" s="9"/>
      <c r="U71" s="9"/>
    </row>
    <row r="72" spans="1:37">
      <c r="A72">
        <v>1994</v>
      </c>
      <c r="B72" s="9">
        <v>8.1984618772192679</v>
      </c>
      <c r="C72" s="9">
        <f>'1_USA Table 1.8 realworld'!E58</f>
        <v>11.363023360936483</v>
      </c>
      <c r="D72" s="9">
        <v>6.6000000000000103</v>
      </c>
      <c r="E72" s="9">
        <v>12.9000000000001</v>
      </c>
      <c r="F72" s="24">
        <f t="shared" si="0"/>
        <v>11.608695652173919</v>
      </c>
      <c r="O72" s="24">
        <f>'3_Greene 2010'!B27</f>
        <v>8.3765877340236905</v>
      </c>
      <c r="Q72" s="9">
        <f>'5_EEA 2000'!B57</f>
        <v>9.41</v>
      </c>
      <c r="R72" s="9">
        <f>'5_EEA 2000'!C57</f>
        <v>10.02</v>
      </c>
      <c r="S72" s="9"/>
      <c r="T72" s="9">
        <f>'5_EEA 2000'!E57</f>
        <v>8.24</v>
      </c>
      <c r="U72" s="9"/>
    </row>
    <row r="73" spans="1:37">
      <c r="A73">
        <v>1995</v>
      </c>
      <c r="B73" s="9">
        <v>7.9418291623237414</v>
      </c>
      <c r="C73" s="9">
        <f>'1_USA Table 1.8 realworld'!E59</f>
        <v>11.147610595800245</v>
      </c>
      <c r="D73" s="9">
        <v>6.5000000000000098</v>
      </c>
      <c r="E73" s="9">
        <v>12.75</v>
      </c>
      <c r="F73" s="24">
        <f t="shared" si="0"/>
        <v>11.565217391304355</v>
      </c>
      <c r="O73" s="24">
        <f>'3_Greene 2010'!B28</f>
        <v>8.2242861388596218</v>
      </c>
      <c r="Q73" s="9"/>
      <c r="R73" s="9"/>
      <c r="S73" s="9">
        <f>'5_EEA 2000'!D58</f>
        <v>8.14</v>
      </c>
      <c r="T73" s="9">
        <f>'5_EEA 2000'!E58</f>
        <v>7.88</v>
      </c>
      <c r="U73" s="9"/>
    </row>
    <row r="74" spans="1:37">
      <c r="A74">
        <v>1996</v>
      </c>
      <c r="B74" s="9">
        <v>8.0592873682270092</v>
      </c>
      <c r="C74" s="9">
        <f>'1_USA Table 1.8 realworld'!E60</f>
        <v>11.095027526952132</v>
      </c>
      <c r="D74" s="9">
        <v>6.4000000000000101</v>
      </c>
      <c r="E74" s="9">
        <v>12.600000000000099</v>
      </c>
      <c r="F74" s="24">
        <f t="shared" si="0"/>
        <v>11.52173913043479</v>
      </c>
      <c r="O74" s="24">
        <f>'3_Greene 2010'!B29</f>
        <v>8.2618399568452823</v>
      </c>
    </row>
    <row r="75" spans="1:37">
      <c r="A75">
        <v>1997</v>
      </c>
      <c r="B75" s="9">
        <v>7.9960046281595627</v>
      </c>
      <c r="C75" s="9">
        <f>'1_USA Table 1.8 realworld'!E61</f>
        <v>10.940213189366753</v>
      </c>
      <c r="D75" s="9">
        <v>6.3000000000000096</v>
      </c>
      <c r="E75" s="9">
        <v>12.45</v>
      </c>
      <c r="F75" s="24">
        <f t="shared" si="0"/>
        <v>11.478260869565226</v>
      </c>
      <c r="O75" s="24">
        <f>'3_Greene 2010'!B30</f>
        <v>8.1870721744303925</v>
      </c>
    </row>
    <row r="76" spans="1:37">
      <c r="A76">
        <v>1998</v>
      </c>
      <c r="B76" s="9">
        <v>7.8128160010427647</v>
      </c>
      <c r="C76" s="9">
        <f>'1_USA Table 1.8 realworld'!E62</f>
        <v>10.889564054230796</v>
      </c>
      <c r="D76" s="9">
        <v>6.2000000000000099</v>
      </c>
      <c r="E76" s="9">
        <v>12.3000000000001</v>
      </c>
      <c r="F76" s="24">
        <f t="shared" si="0"/>
        <v>11.434782608695661</v>
      </c>
      <c r="O76" s="24">
        <f>'3_Greene 2010'!B31</f>
        <v>8.1501934709419679</v>
      </c>
    </row>
    <row r="77" spans="1:37">
      <c r="A77">
        <v>1999</v>
      </c>
      <c r="B77" s="9">
        <v>7.7947241829722751</v>
      </c>
      <c r="C77" s="9">
        <f>'1_USA Table 1.8 realworld'!E63</f>
        <v>10.99133568090585</v>
      </c>
      <c r="D77" s="9">
        <v>6.1000000000000103</v>
      </c>
      <c r="E77" s="9">
        <v>12.1500000000001</v>
      </c>
      <c r="F77" s="24">
        <f t="shared" si="0"/>
        <v>11.391304347826097</v>
      </c>
      <c r="O77" s="24">
        <f>'3_Greene 2010'!B32</f>
        <v>8.2997383052711786</v>
      </c>
    </row>
    <row r="78" spans="1:37">
      <c r="A78">
        <v>2000</v>
      </c>
      <c r="B78" s="9">
        <v>7.7841611270764597</v>
      </c>
      <c r="C78" s="9">
        <f>'1_USA Table 1.8 realworld'!E64</f>
        <v>10.740391943898867</v>
      </c>
      <c r="D78" s="9">
        <v>6.0000000000000098</v>
      </c>
      <c r="E78" s="9">
        <v>12.000000000000099</v>
      </c>
      <c r="F78" s="24">
        <f t="shared" si="0"/>
        <v>11.347826086956532</v>
      </c>
      <c r="G78" s="24">
        <f>'2_Yang 2014'!B10</f>
        <v>6.5720755398542945</v>
      </c>
      <c r="H78" s="24">
        <f>'2_Yang 2014'!C10</f>
        <v>6.6822324878234429</v>
      </c>
      <c r="I78" s="24">
        <f>'2_Yang 2014'!D10</f>
        <v>7.8066572708723934</v>
      </c>
      <c r="J78" s="24">
        <f>'2_Yang 2014'!E10</f>
        <v>8.4336530502468694</v>
      </c>
      <c r="K78" s="24"/>
      <c r="L78" s="24"/>
      <c r="M78" s="24"/>
      <c r="N78" s="24"/>
      <c r="O78" s="24">
        <f>'3_Greene 2010'!B33</f>
        <v>8.2997383052711786</v>
      </c>
      <c r="W78">
        <f>'8_ICCT 2014'!C39</f>
        <v>9.6199999999999992</v>
      </c>
      <c r="Y78">
        <f>'8_ICCT 2014'!E39</f>
        <v>8.73</v>
      </c>
      <c r="Z78">
        <f>'8_ICCT 2014'!F39</f>
        <v>7.35</v>
      </c>
      <c r="AB78">
        <f>'8_ICCT 2014'!H39</f>
        <v>7.26</v>
      </c>
      <c r="AG78">
        <f>'Tietge 2017'!D6</f>
        <v>8.66</v>
      </c>
      <c r="AH78">
        <f>'Tietge 2017'!E6</f>
        <v>8.2100000000000009</v>
      </c>
      <c r="AI78">
        <f>'Tietge 2017'!F6</f>
        <v>7.29</v>
      </c>
      <c r="AK78">
        <f>'Tietge 2017'!H6</f>
        <v>7.97</v>
      </c>
    </row>
    <row r="79" spans="1:37">
      <c r="A79">
        <v>2001</v>
      </c>
      <c r="B79" s="9">
        <v>7.6625058983280043</v>
      </c>
      <c r="C79" s="9">
        <f>'1_USA Table 1.8 realworld'!E65</f>
        <v>10.643193826759511</v>
      </c>
      <c r="D79" s="9">
        <v>5.9000000000000101</v>
      </c>
      <c r="E79" s="9">
        <v>11.850000000000099</v>
      </c>
      <c r="F79" s="24">
        <f t="shared" si="0"/>
        <v>11.304347826086968</v>
      </c>
      <c r="G79" s="24">
        <f>'2_Yang 2014'!B11</f>
        <v>6.3830280480701544</v>
      </c>
      <c r="H79" s="24">
        <f>'2_Yang 2014'!C11</f>
        <v>6.6614155641853632</v>
      </c>
      <c r="I79" s="24">
        <f>'2_Yang 2014'!D11</f>
        <v>7.8066572708723934</v>
      </c>
      <c r="J79" s="24">
        <f>'2_Yang 2014'!E11</f>
        <v>8.4700966356278435</v>
      </c>
      <c r="K79" s="24"/>
      <c r="L79" s="24"/>
      <c r="M79" s="24"/>
      <c r="N79" s="24"/>
      <c r="O79" s="24">
        <f>'3_Greene 2010'!B34</f>
        <v>8.1870721744303925</v>
      </c>
      <c r="W79">
        <f>'8_ICCT 2014'!C40</f>
        <v>9.5299999999999994</v>
      </c>
      <c r="Y79">
        <f>'8_ICCT 2014'!E40</f>
        <v>8.73</v>
      </c>
      <c r="Z79">
        <f>'8_ICCT 2014'!F40</f>
        <v>7.23</v>
      </c>
      <c r="AB79">
        <f>'8_ICCT 2014'!H40</f>
        <v>6.99</v>
      </c>
      <c r="AG79">
        <f>'Tietge 2017'!D7</f>
        <v>8.57</v>
      </c>
      <c r="AH79">
        <f>'Tietge 2017'!E7</f>
        <v>8.18</v>
      </c>
      <c r="AI79">
        <f>'Tietge 2017'!F7</f>
        <v>7.17</v>
      </c>
      <c r="AK79">
        <f>'Tietge 2017'!H7</f>
        <v>7.72</v>
      </c>
    </row>
    <row r="80" spans="1:37">
      <c r="A80">
        <v>2002</v>
      </c>
      <c r="B80" s="9">
        <v>7.6244657033623051</v>
      </c>
      <c r="C80" s="9">
        <f>'1_USA Table 1.8 realworld'!E66</f>
        <v>10.691571980517509</v>
      </c>
      <c r="D80" s="9">
        <v>5.8000000000000096</v>
      </c>
      <c r="E80" s="9">
        <v>11.700000000000101</v>
      </c>
      <c r="F80" s="24">
        <f t="shared" si="0"/>
        <v>11.260869565217403</v>
      </c>
      <c r="G80" s="24">
        <f>'2_Yang 2014'!B12</f>
        <v>6.1285717449553205</v>
      </c>
      <c r="H80" s="24">
        <f>'2_Yang 2014'!C12</f>
        <v>6.4672692760897776</v>
      </c>
      <c r="I80" s="24">
        <f>'2_Yang 2014'!D12</f>
        <v>7.6867510971040911</v>
      </c>
      <c r="J80" s="24">
        <f>'2_Yang 2014'!E12</f>
        <v>8.2242861388596218</v>
      </c>
      <c r="K80" s="24">
        <f>'2_Yang 2014'!F12</f>
        <v>8.1248560819131335</v>
      </c>
      <c r="L80" s="24"/>
      <c r="M80" s="24"/>
      <c r="N80" s="24"/>
      <c r="O80" s="24">
        <f>'3_Greene 2010'!B35</f>
        <v>8.1870721744303925</v>
      </c>
      <c r="W80">
        <f>'8_ICCT 2014'!C41</f>
        <v>9.41</v>
      </c>
      <c r="X80">
        <f>'8_ICCT 2014'!D41</f>
        <v>9.1199999999999992</v>
      </c>
      <c r="Y80">
        <f>'8_ICCT 2014'!E41</f>
        <v>8.61</v>
      </c>
      <c r="Z80">
        <f>'8_ICCT 2014'!F41</f>
        <v>7.11</v>
      </c>
      <c r="AB80">
        <f>'8_ICCT 2014'!H41</f>
        <v>6.73</v>
      </c>
      <c r="AE80">
        <f>'Tietge 2017'!B8</f>
        <v>9.0500000000000007</v>
      </c>
      <c r="AG80">
        <f>'Tietge 2017'!D8</f>
        <v>8.57</v>
      </c>
      <c r="AH80">
        <f>'Tietge 2017'!E8</f>
        <v>8.0399999999999991</v>
      </c>
      <c r="AI80">
        <f>'Tietge 2017'!F8</f>
        <v>7.07</v>
      </c>
      <c r="AK80">
        <f>'Tietge 2017'!H8</f>
        <v>7.46</v>
      </c>
    </row>
    <row r="81" spans="1:40">
      <c r="A81">
        <v>2003</v>
      </c>
      <c r="B81" s="9">
        <v>7.5132559767824318</v>
      </c>
      <c r="C81" s="9">
        <f>'1_USA Table 1.8 realworld'!E67</f>
        <v>10.595251512224559</v>
      </c>
      <c r="D81" s="9">
        <v>5.7000000000000197</v>
      </c>
      <c r="E81" s="9">
        <v>11.5500000000001</v>
      </c>
      <c r="F81" s="24">
        <f t="shared" si="0"/>
        <v>11.217391304347839</v>
      </c>
      <c r="G81" s="24">
        <f>'2_Yang 2014'!B13</f>
        <v>6.1285717449553205</v>
      </c>
      <c r="H81" s="24">
        <f>'2_Yang 2014'!C13</f>
        <v>6.4672692760897776</v>
      </c>
      <c r="I81" s="24">
        <f>'2_Yang 2014'!D13</f>
        <v>7.5704725964398198</v>
      </c>
      <c r="J81" s="24">
        <f>'2_Yang 2014'!E13</f>
        <v>8.1248560819131335</v>
      </c>
      <c r="K81" s="24"/>
      <c r="L81" s="24"/>
      <c r="M81" s="24">
        <f>'2_Yang 2014'!H13</f>
        <v>8.7278138616469452</v>
      </c>
      <c r="N81" s="24"/>
      <c r="O81" s="24">
        <f>'3_Greene 2010'!B36</f>
        <v>8.1136455181574743</v>
      </c>
      <c r="V81">
        <f>'8_ICCT 2014'!B42</f>
        <v>9.9410000000000007</v>
      </c>
      <c r="W81">
        <f>'8_ICCT 2014'!C42</f>
        <v>9.2899999999999991</v>
      </c>
      <c r="Y81">
        <f>'8_ICCT 2014'!E42</f>
        <v>8.5</v>
      </c>
      <c r="Z81">
        <f>'8_ICCT 2014'!F42</f>
        <v>7.11</v>
      </c>
      <c r="AB81">
        <f>'8_ICCT 2014'!H42</f>
        <v>6.73</v>
      </c>
      <c r="AF81" s="9">
        <f>'Tietge 2017'!C9</f>
        <v>9</v>
      </c>
      <c r="AG81">
        <f>'Tietge 2017'!D9</f>
        <v>8.33</v>
      </c>
      <c r="AH81">
        <f>'Tietge 2017'!E9</f>
        <v>7.94</v>
      </c>
      <c r="AI81">
        <f>'Tietge 2017'!F9</f>
        <v>6.98</v>
      </c>
      <c r="AK81">
        <f>'Tietge 2017'!H9</f>
        <v>7.36</v>
      </c>
    </row>
    <row r="82" spans="1:40">
      <c r="A82">
        <v>2004</v>
      </c>
      <c r="B82" s="9">
        <v>7.4702140893331404</v>
      </c>
      <c r="C82" s="9">
        <f>'1_USA Table 1.8 realworld'!E68</f>
        <v>10.453981492061564</v>
      </c>
      <c r="D82" s="9">
        <v>5.6000000000000201</v>
      </c>
      <c r="E82" s="9">
        <v>11.4000000000001</v>
      </c>
      <c r="F82" s="24">
        <f t="shared" si="0"/>
        <v>11.173913043478274</v>
      </c>
      <c r="G82" s="24">
        <f>'2_Yang 2014'!B14</f>
        <v>6.0003720298822749</v>
      </c>
      <c r="H82" s="24">
        <f>'2_Yang 2014'!C14</f>
        <v>6.3229726766501395</v>
      </c>
      <c r="I82" s="24">
        <f>'2_Yang 2014'!D14</f>
        <v>7.4576595932588843</v>
      </c>
      <c r="J82" s="24">
        <f>'2_Yang 2014'!E14</f>
        <v>8.2589390298941439</v>
      </c>
      <c r="K82" s="24"/>
      <c r="L82" s="24"/>
      <c r="M82" s="24">
        <f>'2_Yang 2014'!H14</f>
        <v>8.2242861388596218</v>
      </c>
      <c r="N82" s="24"/>
      <c r="O82" s="24">
        <f>'3_Greene 2010'!B37</f>
        <v>8.0774238863799859</v>
      </c>
      <c r="V82">
        <f>'8_ICCT 2014'!B43</f>
        <v>9.3510000000000009</v>
      </c>
      <c r="W82">
        <f>'8_ICCT 2014'!C43</f>
        <v>9.32</v>
      </c>
      <c r="Y82">
        <f>'8_ICCT 2014'!E43</f>
        <v>8.3800000000000008</v>
      </c>
      <c r="Z82">
        <f>'8_ICCT 2014'!F43</f>
        <v>7.02</v>
      </c>
      <c r="AB82">
        <f>'8_ICCT 2014'!H43</f>
        <v>6.58</v>
      </c>
      <c r="AF82">
        <f>'Tietge 2017'!C10</f>
        <v>8.4700000000000006</v>
      </c>
      <c r="AG82">
        <f>'Tietge 2017'!D10</f>
        <v>8.35</v>
      </c>
      <c r="AH82">
        <f>'Tietge 2017'!E10</f>
        <v>7.84</v>
      </c>
      <c r="AI82">
        <f>'Tietge 2017'!F10</f>
        <v>6.91</v>
      </c>
      <c r="AK82">
        <f>'Tietge 2017'!H10</f>
        <v>7.24</v>
      </c>
    </row>
    <row r="83" spans="1:40">
      <c r="A83">
        <v>2005</v>
      </c>
      <c r="B83" s="9">
        <v>7.5005457705184524</v>
      </c>
      <c r="C83" s="9">
        <f>'1_USA Table 1.8 realworld'!E69</f>
        <v>10.643193826759511</v>
      </c>
      <c r="D83" s="9">
        <v>5.5000000000000204</v>
      </c>
      <c r="E83" s="9">
        <v>11.250000000000099</v>
      </c>
      <c r="F83" s="24">
        <f t="shared" si="0"/>
        <v>11.13043478260871</v>
      </c>
      <c r="G83" s="24">
        <f>'2_Yang 2014'!B15</f>
        <v>6.0187969184080137</v>
      </c>
      <c r="H83" s="24">
        <f>'2_Yang 2014'!C15</f>
        <v>6.3229726766501395</v>
      </c>
      <c r="I83" s="24">
        <f>'2_Yang 2014'!D15</f>
        <v>7.3458645712487565</v>
      </c>
      <c r="J83" s="24">
        <f>'2_Yang 2014'!E15</f>
        <v>8.0250625578773533</v>
      </c>
      <c r="K83" s="24"/>
      <c r="L83" s="24"/>
      <c r="M83" s="24">
        <f>'2_Yang 2014'!H15</f>
        <v>8.1558454775098888</v>
      </c>
      <c r="N83" s="24"/>
      <c r="O83" s="24">
        <f>'3_Greene 2010'!B38</f>
        <v>7.898407776070691</v>
      </c>
      <c r="V83">
        <f>'8_ICCT 2014'!B44</f>
        <v>9.1449999999999996</v>
      </c>
      <c r="W83">
        <f>'8_ICCT 2014'!C44</f>
        <v>9.14</v>
      </c>
      <c r="Y83">
        <f>'8_ICCT 2014'!E44</f>
        <v>8.26</v>
      </c>
      <c r="Z83">
        <f>'8_ICCT 2014'!F44</f>
        <v>6.96</v>
      </c>
      <c r="AB83">
        <f>'8_ICCT 2014'!H44</f>
        <v>6.55</v>
      </c>
      <c r="AF83">
        <f>'Tietge 2017'!C11</f>
        <v>8.3699999999999992</v>
      </c>
      <c r="AG83">
        <f>'Tietge 2017'!D11</f>
        <v>8.16</v>
      </c>
      <c r="AH83">
        <f>'Tietge 2017'!E11</f>
        <v>7.7</v>
      </c>
      <c r="AI83">
        <f>'Tietge 2017'!F11</f>
        <v>6.91</v>
      </c>
      <c r="AK83">
        <f>'Tietge 2017'!H11</f>
        <v>7.2</v>
      </c>
    </row>
    <row r="84" spans="1:40">
      <c r="A84">
        <v>2006</v>
      </c>
      <c r="B84" s="9">
        <v>7.3711374706323012</v>
      </c>
      <c r="C84" s="9">
        <f>'1_USA Table 1.8 realworld'!E70</f>
        <v>10.453981492061564</v>
      </c>
      <c r="D84" s="9">
        <v>5.4000000000000199</v>
      </c>
      <c r="E84" s="9">
        <v>11.100000000000099</v>
      </c>
      <c r="F84" s="24">
        <f t="shared" si="0"/>
        <v>11.086956521739145</v>
      </c>
      <c r="G84" s="24">
        <f>'2_Yang 2014'!B16</f>
        <v>5.8423890603920814</v>
      </c>
      <c r="H84" s="24">
        <f>'2_Yang 2014'!C16</f>
        <v>6.2640368461087945</v>
      </c>
      <c r="I84" s="24">
        <f>'2_Yang 2014'!D16</f>
        <v>7.5124427841387806</v>
      </c>
      <c r="J84" s="24">
        <f>'2_Yang 2014'!E16</f>
        <v>8.1899228263017143</v>
      </c>
      <c r="K84" s="24">
        <f>'2_Yang 2014'!F16</f>
        <v>7.2395993712337701</v>
      </c>
      <c r="L84" s="24"/>
      <c r="M84" s="24">
        <f>'2_Yang 2014'!H16</f>
        <v>8.0913169443200967</v>
      </c>
      <c r="N84" s="24">
        <f>'2_Yang 2014'!I16</f>
        <v>5.9820596025275998</v>
      </c>
      <c r="O84" s="24">
        <f>'3_Greene 2010'!B39</f>
        <v>8.0774238863799859</v>
      </c>
      <c r="V84">
        <f>'8_ICCT 2014'!B45</f>
        <v>9.1449999999999996</v>
      </c>
      <c r="W84">
        <f>'8_ICCT 2014'!C45</f>
        <v>9.17</v>
      </c>
      <c r="X84">
        <f>'8_ICCT 2014'!D45</f>
        <v>8.0500000000000007</v>
      </c>
      <c r="Y84">
        <f>'8_ICCT 2014'!E45</f>
        <v>8.44</v>
      </c>
      <c r="Z84">
        <f>'8_ICCT 2014'!F45</f>
        <v>6.93</v>
      </c>
      <c r="AA84">
        <f>'8_ICCT 2014'!G45</f>
        <v>6.55</v>
      </c>
      <c r="AB84">
        <f>'8_ICCT 2014'!H45</f>
        <v>6.37</v>
      </c>
      <c r="AE84">
        <f>'Tietge 2017'!B12</f>
        <v>7.94</v>
      </c>
      <c r="AF84">
        <f>'Tietge 2017'!C12</f>
        <v>8.1300000000000008</v>
      </c>
      <c r="AG84">
        <f>'Tietge 2017'!D12</f>
        <v>8.18</v>
      </c>
      <c r="AH84">
        <f>'Tietge 2017'!E12</f>
        <v>7.8</v>
      </c>
      <c r="AI84">
        <f>'Tietge 2017'!F12</f>
        <v>6.76</v>
      </c>
      <c r="AJ84">
        <f>'Tietge 2017'!G12</f>
        <v>6.43</v>
      </c>
      <c r="AK84">
        <f>'Tietge 2017'!H12</f>
        <v>7.07</v>
      </c>
    </row>
    <row r="85" spans="1:40">
      <c r="A85">
        <v>2007</v>
      </c>
      <c r="B85" s="9">
        <v>7.3832472215693556</v>
      </c>
      <c r="C85" s="9">
        <f>'1_USA Table 1.8 realworld'!E71</f>
        <v>10.271379195256996</v>
      </c>
      <c r="D85" s="9">
        <v>5.3000000000000203</v>
      </c>
      <c r="E85" s="9">
        <v>10.950000000000101</v>
      </c>
      <c r="F85" s="24">
        <f>F84+(F$86-F$63)/23</f>
        <v>11.043478260869581</v>
      </c>
      <c r="G85" s="24">
        <f>'2_Yang 2014'!B17</f>
        <v>5.7749713619294187</v>
      </c>
      <c r="H85" s="24">
        <f>'2_Yang 2014'!C17</f>
        <v>6.2242546592057471</v>
      </c>
      <c r="I85" s="24">
        <f>'2_Yang 2014'!D17</f>
        <v>7.188709766851626</v>
      </c>
      <c r="J85" s="24">
        <f>'2_Yang 2014'!E17</f>
        <v>7.8378734945479902</v>
      </c>
      <c r="K85" s="24"/>
      <c r="L85" s="24"/>
      <c r="M85" s="24">
        <f>'2_Yang 2014'!H17</f>
        <v>7.8066572708723934</v>
      </c>
      <c r="N85" s="24"/>
      <c r="O85" s="24">
        <f>'3_Greene 2010'!B40</f>
        <v>7.9706737909652716</v>
      </c>
      <c r="V85">
        <f>'8_ICCT 2014'!B46</f>
        <v>8.82</v>
      </c>
      <c r="W85">
        <f>'8_ICCT 2014'!C46</f>
        <v>8.91</v>
      </c>
      <c r="Y85">
        <f>'8_ICCT 2014'!E46</f>
        <v>8.02</v>
      </c>
      <c r="Z85">
        <f>'8_ICCT 2014'!F46</f>
        <v>6.81</v>
      </c>
      <c r="AB85">
        <f>'8_ICCT 2014'!H46</f>
        <v>6.34</v>
      </c>
      <c r="AF85">
        <f>'Tietge 2017'!C13</f>
        <v>7.84</v>
      </c>
      <c r="AG85">
        <f>'Tietge 2017'!D13</f>
        <v>7.84</v>
      </c>
      <c r="AH85">
        <f>'Tietge 2017'!E13</f>
        <v>7.48</v>
      </c>
      <c r="AI85">
        <f>'Tietge 2017'!F13</f>
        <v>6.76</v>
      </c>
      <c r="AK85">
        <f>'Tietge 2017'!H13</f>
        <v>6.98</v>
      </c>
    </row>
    <row r="86" spans="1:40">
      <c r="A86">
        <v>2008</v>
      </c>
      <c r="B86" s="9">
        <v>7.2295736367062151</v>
      </c>
      <c r="C86" s="9">
        <f>'1_USA Table 1.8 realworld'!E72</f>
        <v>9.9246659734761682</v>
      </c>
      <c r="D86" s="9">
        <v>5.2000000000000197</v>
      </c>
      <c r="E86" s="9">
        <v>10.8000000000001</v>
      </c>
      <c r="F86" s="25">
        <f>'Russia realworld cars 1985 2008'!B25</f>
        <v>11</v>
      </c>
      <c r="G86" s="24">
        <f>'2_Yang 2014'!B18</f>
        <v>5.5501317501506655</v>
      </c>
      <c r="H86" s="24">
        <f>'2_Yang 2014'!C18</f>
        <v>6.0187969184080137</v>
      </c>
      <c r="I86" s="24">
        <f>'2_Yang 2014'!D18</f>
        <v>7.1104771333550545</v>
      </c>
      <c r="J86" s="24">
        <f>'2_Yang 2014'!E18</f>
        <v>7.8066572708723934</v>
      </c>
      <c r="K86" s="24">
        <f>'2_Yang 2014'!F18</f>
        <v>7.1104771333550545</v>
      </c>
      <c r="L86" s="24">
        <f>'2_Yang 2014'!G18</f>
        <v>7.0869112254108231</v>
      </c>
      <c r="M86" s="24">
        <f>'2_Yang 2014'!H18</f>
        <v>7.5704725964398198</v>
      </c>
      <c r="N86" s="24"/>
      <c r="O86" s="24"/>
      <c r="V86">
        <f>'8_ICCT 2014'!B47</f>
        <v>8.4659999999999993</v>
      </c>
      <c r="W86">
        <f>'8_ICCT 2014'!C47</f>
        <v>8.82</v>
      </c>
      <c r="X86">
        <f>'8_ICCT 2014'!D47</f>
        <v>7.96</v>
      </c>
      <c r="Y86">
        <f>'8_ICCT 2014'!E47</f>
        <v>7.96</v>
      </c>
      <c r="Z86">
        <f>'8_ICCT 2014'!F47</f>
        <v>6.61</v>
      </c>
      <c r="AB86">
        <f>'8_ICCT 2014'!H47</f>
        <v>6.02</v>
      </c>
      <c r="AD86">
        <f>'8_ICCT 2014'!J47</f>
        <v>7.96</v>
      </c>
      <c r="AE86">
        <f>'Tietge 2017'!B14</f>
        <v>7.87</v>
      </c>
      <c r="AF86">
        <f>'Tietge 2017'!C14</f>
        <v>7.51</v>
      </c>
      <c r="AG86">
        <f>'Tietge 2017'!D14</f>
        <v>7.84</v>
      </c>
      <c r="AH86">
        <f>'Tietge 2017'!E14</f>
        <v>7.41</v>
      </c>
      <c r="AI86">
        <f>'Tietge 2017'!F14</f>
        <v>6.47</v>
      </c>
      <c r="AK86">
        <f>'Tietge 2017'!H14</f>
        <v>6.71</v>
      </c>
      <c r="AL86">
        <f>'Tietge 2017'!I14</f>
        <v>7.44</v>
      </c>
    </row>
    <row r="87" spans="1:40">
      <c r="A87">
        <v>2009</v>
      </c>
      <c r="B87" s="9">
        <v>7.0339547994065423</v>
      </c>
      <c r="C87" s="9">
        <f>'1_USA Table 1.8 realworld'!E73</f>
        <v>10.009131215803626</v>
      </c>
      <c r="D87" s="9">
        <v>5.1000000000000201</v>
      </c>
      <c r="E87" s="9">
        <v>10.6500000000001</v>
      </c>
      <c r="G87" s="24">
        <f>'2_Yang 2014'!B19</f>
        <v>5.135689597628498</v>
      </c>
      <c r="H87" s="24">
        <f>'2_Yang 2014'!C19</f>
        <v>5.7411418982520184</v>
      </c>
      <c r="I87" s="24">
        <f>'2_Yang 2014'!D19</f>
        <v>6.7726629303594938</v>
      </c>
      <c r="J87" s="24">
        <f>'2_Yang 2014'!E19</f>
        <v>7.4837602154433727</v>
      </c>
      <c r="K87" s="24"/>
      <c r="L87" s="24">
        <f>'2_Yang 2014'!G19</f>
        <v>6.9384832911913046</v>
      </c>
      <c r="M87" s="24">
        <f>'2_Yang 2014'!H19</f>
        <v>7.1104771333550545</v>
      </c>
      <c r="N87" s="24">
        <f>'2_Yang 2014'!I19</f>
        <v>5.5501317501506655</v>
      </c>
      <c r="O87" s="24"/>
      <c r="V87">
        <f>'8_ICCT 2014'!B48</f>
        <v>7.9059999999999997</v>
      </c>
      <c r="W87">
        <f>'8_ICCT 2014'!C48</f>
        <v>8.35</v>
      </c>
      <c r="Y87">
        <f>'8_ICCT 2014'!E48</f>
        <v>7.55</v>
      </c>
      <c r="Z87">
        <f>'8_ICCT 2014'!F48</f>
        <v>6.25</v>
      </c>
      <c r="AA87">
        <f>'8_ICCT 2014'!G48</f>
        <v>5.99</v>
      </c>
      <c r="AB87">
        <f>'8_ICCT 2014'!H48</f>
        <v>5.55</v>
      </c>
      <c r="AD87">
        <f>'8_ICCT 2014'!J48</f>
        <v>7.73</v>
      </c>
      <c r="AF87">
        <f>'Tietge 2017'!C15</f>
        <v>7.1</v>
      </c>
      <c r="AG87">
        <f>'Tietge 2017'!D15</f>
        <v>7.46</v>
      </c>
      <c r="AH87">
        <f>'Tietge 2017'!E15</f>
        <v>7.05</v>
      </c>
      <c r="AI87">
        <f>'Tietge 2017'!F15</f>
        <v>6.16</v>
      </c>
      <c r="AJ87">
        <f>'Tietge 2017'!G15</f>
        <v>6.02</v>
      </c>
      <c r="AK87">
        <f>'Tietge 2017'!H15</f>
        <v>6.21</v>
      </c>
      <c r="AL87">
        <f>'Tietge 2017'!I15</f>
        <v>7.29</v>
      </c>
    </row>
    <row r="88" spans="1:40">
      <c r="A88">
        <v>2010</v>
      </c>
      <c r="B88" s="9">
        <v>6.90138760361853</v>
      </c>
      <c r="C88" s="9">
        <f>'1_USA Table 1.8 realworld'!E74</f>
        <v>10.095046505209664</v>
      </c>
      <c r="D88" s="9">
        <v>5.0000000000000204</v>
      </c>
      <c r="E88" s="9">
        <v>10.500000000000099</v>
      </c>
      <c r="G88" s="24">
        <f>'2_Yang 2014'!B20</f>
        <v>5.0835224458911865</v>
      </c>
      <c r="H88" s="24">
        <f>'2_Yang 2014'!C20</f>
        <v>5.5658917077942549</v>
      </c>
      <c r="I88" s="24">
        <f>'2_Yang 2014'!D20</f>
        <v>6.8197907675089935</v>
      </c>
      <c r="J88" s="24">
        <f>'2_Yang 2014'!E20</f>
        <v>7.2395993712337701</v>
      </c>
      <c r="K88" s="24">
        <f>'2_Yang 2014'!F20</f>
        <v>6.9384832911913046</v>
      </c>
      <c r="L88" s="24">
        <f>'2_Yang 2014'!G20</f>
        <v>6.8197907675089935</v>
      </c>
      <c r="M88" s="24">
        <f>'2_Yang 2014'!H20</f>
        <v>6.7512796662280481</v>
      </c>
      <c r="N88" s="24">
        <f>'2_Yang 2014'!I20</f>
        <v>5.4296995284253278</v>
      </c>
      <c r="O88" s="24"/>
      <c r="V88">
        <f>'8_ICCT 2014'!B49</f>
        <v>7.4630000000000001</v>
      </c>
      <c r="W88">
        <f>'8_ICCT 2014'!C49</f>
        <v>8.0500000000000007</v>
      </c>
      <c r="X88">
        <f>'8_ICCT 2014'!D49</f>
        <v>7.73</v>
      </c>
      <c r="Y88">
        <f>'8_ICCT 2014'!E49</f>
        <v>7.61</v>
      </c>
      <c r="Z88">
        <f>'8_ICCT 2014'!F49</f>
        <v>6.02</v>
      </c>
      <c r="AA88">
        <f>'8_ICCT 2014'!G49</f>
        <v>5.9</v>
      </c>
      <c r="AB88">
        <f>'8_ICCT 2014'!H49</f>
        <v>5.52</v>
      </c>
      <c r="AD88">
        <f>'8_ICCT 2014'!J49</f>
        <v>7.61</v>
      </c>
      <c r="AE88">
        <f>'Tietge 2017'!B16</f>
        <v>7.63</v>
      </c>
      <c r="AF88">
        <f>'Tietge 2017'!C16</f>
        <v>6.79</v>
      </c>
      <c r="AG88">
        <f>'Tietge 2017'!D16</f>
        <v>7.2</v>
      </c>
      <c r="AH88">
        <f>'Tietge 2017'!E16</f>
        <v>7.03</v>
      </c>
      <c r="AI88">
        <f>'Tietge 2017'!F16</f>
        <v>5.97</v>
      </c>
      <c r="AJ88">
        <f>'Tietge 2017'!G16</f>
        <v>5.85</v>
      </c>
      <c r="AK88">
        <f>'Tietge 2017'!H16</f>
        <v>6.14</v>
      </c>
      <c r="AL88">
        <f>'Tietge 2017'!I16</f>
        <v>7.07</v>
      </c>
    </row>
    <row r="89" spans="1:40">
      <c r="A89">
        <v>2011</v>
      </c>
      <c r="B89" s="9">
        <v>6.7606330392056639</v>
      </c>
      <c r="C89" s="9">
        <f>'1_USA Table 1.8 realworld'!E75</f>
        <v>10.138559636697638</v>
      </c>
      <c r="D89" s="9">
        <v>4.9000000000000199</v>
      </c>
      <c r="E89" s="9">
        <v>10.350000000000099</v>
      </c>
      <c r="G89" s="24">
        <f>'2_Yang 2014'!B21</f>
        <v>4.779812712281756</v>
      </c>
      <c r="H89" s="24">
        <f>'2_Yang 2014'!C21</f>
        <v>5.3701959719494345</v>
      </c>
      <c r="I89" s="24">
        <f>'2_Yang 2014'!D21</f>
        <v>6.7512796662280481</v>
      </c>
      <c r="J89" s="24">
        <f>'2_Yang 2014'!E21</f>
        <v>7.3207153305753252</v>
      </c>
      <c r="K89" s="24">
        <f>'2_Yang 2014'!F21</f>
        <v>6.8436015004767308</v>
      </c>
      <c r="L89" s="24">
        <f>'2_Yang 2014'!G21</f>
        <v>6.6164439823174463</v>
      </c>
      <c r="M89" s="24">
        <f>'2_Yang 2014'!H21</f>
        <v>6.4672692760897776</v>
      </c>
      <c r="N89" s="24">
        <f>'2_Yang 2014'!I21</f>
        <v>5.3701959719494345</v>
      </c>
      <c r="O89" s="24"/>
      <c r="V89">
        <f>'8_ICCT 2014'!B50</f>
        <v>7.1680000000000001</v>
      </c>
      <c r="W89">
        <f>'8_ICCT 2014'!C50</f>
        <v>8.11</v>
      </c>
      <c r="X89">
        <f>'8_ICCT 2014'!D50</f>
        <v>7.61</v>
      </c>
      <c r="Y89">
        <f>'8_ICCT 2014'!E50</f>
        <v>7.61</v>
      </c>
      <c r="Z89">
        <f>'8_ICCT 2014'!F50</f>
        <v>5.78</v>
      </c>
      <c r="AA89">
        <f>'8_ICCT 2014'!G50</f>
        <v>5.84</v>
      </c>
      <c r="AB89">
        <f>'8_ICCT 2014'!H50</f>
        <v>5.07</v>
      </c>
      <c r="AD89">
        <f>'8_ICCT 2014'!J50</f>
        <v>7.37</v>
      </c>
      <c r="AE89">
        <f>'Tietge 2017'!B17</f>
        <v>7.48</v>
      </c>
      <c r="AF89">
        <f>'Tietge 2017'!C17</f>
        <v>6.57</v>
      </c>
      <c r="AG89">
        <f>'Tietge 2017'!D17</f>
        <v>7.36</v>
      </c>
      <c r="AI89">
        <f>'Tietge 2017'!F17</f>
        <v>5.73</v>
      </c>
      <c r="AJ89">
        <f>'Tietge 2017'!G17</f>
        <v>5.73</v>
      </c>
      <c r="AK89">
        <f>'Tietge 2017'!H17</f>
        <v>5.75</v>
      </c>
      <c r="AL89">
        <f>'Tietge 2017'!I17</f>
        <v>6.88</v>
      </c>
    </row>
    <row r="90" spans="1:40">
      <c r="A90">
        <v>2012</v>
      </c>
      <c r="B90" s="9">
        <v>6.700519093677352</v>
      </c>
      <c r="C90" s="9">
        <f>'1_USA Table 1.8 realworld'!E76</f>
        <v>10.095046505209664</v>
      </c>
      <c r="D90" s="9">
        <v>4.8000000000000203</v>
      </c>
      <c r="E90" s="9">
        <v>10.200000000000101</v>
      </c>
      <c r="G90" s="24">
        <f>'2_Yang 2014'!B22</f>
        <v>4.4296531746023584</v>
      </c>
      <c r="H90" s="24">
        <f>'2_Yang 2014'!C22</f>
        <v>5.2573666421856329</v>
      </c>
      <c r="I90" s="24">
        <f>'2_Yang 2014'!D22</f>
        <v>6.6822324878234429</v>
      </c>
      <c r="J90" s="24">
        <f>'2_Yang 2014'!E22</f>
        <v>6.8675790823762108</v>
      </c>
      <c r="K90" s="24">
        <f>'2_Yang 2014'!F22</f>
        <v>6.7512796662280481</v>
      </c>
      <c r="L90" s="24"/>
      <c r="M90" s="24"/>
      <c r="N90" s="24">
        <f>'2_Yang 2014'!I22</f>
        <v>5.3997838285441961</v>
      </c>
      <c r="O90" s="24"/>
      <c r="P90" s="24">
        <f>'4_Sugathapala 2015'!D9</f>
        <v>6.0839999999999996</v>
      </c>
      <c r="W90">
        <f>'8_ICCT 2014'!C51</f>
        <v>7.64</v>
      </c>
      <c r="X90">
        <f>'8_ICCT 2014'!D51</f>
        <v>7.37</v>
      </c>
      <c r="Y90">
        <f>'8_ICCT 2014'!E51</f>
        <v>7.46</v>
      </c>
      <c r="Z90">
        <f>'8_ICCT 2014'!F51</f>
        <v>5.66</v>
      </c>
      <c r="AA90">
        <f>'8_ICCT 2014'!G51</f>
        <v>5.84</v>
      </c>
      <c r="AC90">
        <f>'8_ICCT 2014'!I51</f>
        <v>7.16</v>
      </c>
      <c r="AE90">
        <f>'Tietge 2017'!B18</f>
        <v>7.34</v>
      </c>
      <c r="AF90">
        <f>'Tietge 2017'!C18</f>
        <v>6.28</v>
      </c>
      <c r="AG90">
        <f>'Tietge 2017'!D18</f>
        <v>6.95</v>
      </c>
      <c r="AI90">
        <f>'Tietge 2017'!F18</f>
        <v>5.61</v>
      </c>
      <c r="AJ90">
        <f>'Tietge 2017'!G18</f>
        <v>5.8</v>
      </c>
      <c r="AK90">
        <f>'Tietge 2017'!H18</f>
        <v>5.39</v>
      </c>
      <c r="AM90">
        <f>'Tietge 2017'!J18</f>
        <v>6.74</v>
      </c>
      <c r="AN90">
        <f>'Tietge 2017'!K18</f>
        <v>6.74</v>
      </c>
    </row>
    <row r="91" spans="1:40">
      <c r="A91">
        <v>2013</v>
      </c>
      <c r="B91" s="9">
        <v>6.5563519172994962</v>
      </c>
      <c r="C91" s="9">
        <f>'1_USA Table 1.8 realworld'!E77</f>
        <v>10.051905280828427</v>
      </c>
      <c r="D91" s="9">
        <v>4.7000000000000197</v>
      </c>
      <c r="E91" s="9">
        <v>10.0500000000001</v>
      </c>
      <c r="G91" s="24"/>
      <c r="H91" s="24">
        <f>'2_Yang 2014'!C23</f>
        <v>5.0703725710580985</v>
      </c>
      <c r="I91" s="24"/>
      <c r="J91" s="24">
        <f>'2_Yang 2014'!E23</f>
        <v>6.7726629303594938</v>
      </c>
      <c r="K91" s="24">
        <f>'2_Yang 2014'!F23</f>
        <v>6.6822324878234429</v>
      </c>
      <c r="L91" s="24"/>
      <c r="M91" s="24"/>
      <c r="N91" s="24"/>
      <c r="O91" s="24"/>
      <c r="P91" s="24">
        <f>'4_Sugathapala 2015'!D10</f>
        <v>6.3019999999999996</v>
      </c>
      <c r="W91">
        <f>'8_ICCT 2014'!C52</f>
        <v>7.52</v>
      </c>
      <c r="AE91">
        <f>'Tietge 2017'!B19</f>
        <v>7.27</v>
      </c>
      <c r="AF91">
        <f>'Tietge 2017'!C19</f>
        <v>6.28</v>
      </c>
      <c r="AG91">
        <f>'Tietge 2017'!D19</f>
        <v>6.71</v>
      </c>
      <c r="AI91">
        <f>'Tietge 2017'!F19</f>
        <v>5.34</v>
      </c>
      <c r="AK91">
        <f>'Tietge 2017'!H19</f>
        <v>5.01</v>
      </c>
      <c r="AL91">
        <f>'Tietge 2017'!I19</f>
        <v>6.4</v>
      </c>
    </row>
    <row r="92" spans="1:40">
      <c r="A92">
        <v>2014</v>
      </c>
      <c r="B92" s="9">
        <v>6.3993985206557209</v>
      </c>
      <c r="C92" s="9">
        <f>'1_USA Table 1.8 realworld'!E78</f>
        <v>10.138559636697638</v>
      </c>
      <c r="D92" s="9">
        <v>4.6000000000000201</v>
      </c>
      <c r="E92" s="9">
        <v>9.9000000000000803</v>
      </c>
      <c r="G92" s="24"/>
      <c r="O92" s="24"/>
      <c r="P92" s="24">
        <f>'4_Sugathapala 2015'!D11</f>
        <v>6.3959999999999999</v>
      </c>
      <c r="AE92">
        <f>'Tietge 2017'!B20</f>
        <v>7.12</v>
      </c>
      <c r="AG92">
        <f>'Tietge 2017'!D20</f>
        <v>6.67</v>
      </c>
      <c r="AI92">
        <f>'Tietge 2017'!F20</f>
        <v>5.17</v>
      </c>
      <c r="AK92">
        <f>'Tietge 2017'!H20</f>
        <v>4.8899999999999997</v>
      </c>
      <c r="AL92">
        <f>'Tietge 2017'!I20</f>
        <v>6.21</v>
      </c>
    </row>
    <row r="93" spans="1:40">
      <c r="A93">
        <v>2015</v>
      </c>
      <c r="B93" s="9">
        <v>6.3329260292266616</v>
      </c>
      <c r="C93" s="9">
        <f>'1_USA Table 1.8 realworld'!E79</f>
        <v>9.8416143753717655</v>
      </c>
      <c r="D93" s="9">
        <v>4.5000000000000204</v>
      </c>
      <c r="E93" s="9">
        <v>9.7500000000000799</v>
      </c>
      <c r="G93" s="24"/>
      <c r="O93" s="24"/>
      <c r="P93" s="24">
        <f>'4_Sugathapala 2015'!D12</f>
        <v>6.4889999999999999</v>
      </c>
      <c r="AE93">
        <f>'Tietge 2017'!B21</f>
        <v>6.98</v>
      </c>
      <c r="AJ93">
        <f>'Tietge 2017'!G21</f>
        <v>5.25</v>
      </c>
    </row>
    <row r="94" spans="1:40">
      <c r="A94">
        <v>2016</v>
      </c>
      <c r="B94" s="9">
        <v>6.2787038208247727</v>
      </c>
      <c r="C94" s="9">
        <f>'1_USA Table 1.8 realworld'!E80</f>
        <v>9.8006076488077163</v>
      </c>
      <c r="D94" s="9">
        <v>4.4000000000000199</v>
      </c>
      <c r="E94" s="9">
        <v>9.6000000000000796</v>
      </c>
      <c r="O94" s="24"/>
      <c r="P94" s="24"/>
    </row>
    <row r="95" spans="1:40">
      <c r="A95">
        <v>2017</v>
      </c>
      <c r="B95" s="9">
        <v>6.1493610207014449</v>
      </c>
      <c r="C95" s="9">
        <f>'1_USA Table 1.8 realworld'!E81</f>
        <v>9.7196108913795545</v>
      </c>
      <c r="D95" s="9">
        <v>4.3000000000000203</v>
      </c>
      <c r="E95" s="9">
        <v>9.4500000000000792</v>
      </c>
      <c r="O95" s="24"/>
    </row>
    <row r="96" spans="1:40">
      <c r="A96">
        <v>2018</v>
      </c>
      <c r="B96" s="9">
        <v>5.966821861407765</v>
      </c>
      <c r="C96" s="9">
        <f>'1_USA Table 1.8 realworld'!E82</f>
        <v>9.6399419496469338</v>
      </c>
      <c r="D96" s="9">
        <v>4.2000000000000197</v>
      </c>
      <c r="E96" s="9">
        <v>9.3000000000000806</v>
      </c>
      <c r="O96" s="24"/>
    </row>
    <row r="97" spans="1:15">
      <c r="A97">
        <v>2019</v>
      </c>
      <c r="B97" s="9"/>
      <c r="C97" s="9"/>
      <c r="D97" s="9">
        <v>4.1000000000000201</v>
      </c>
      <c r="E97" s="9">
        <v>9.1500000000000803</v>
      </c>
      <c r="O97" s="24"/>
    </row>
    <row r="98" spans="1:15">
      <c r="A98">
        <v>2020</v>
      </c>
      <c r="C98" s="9"/>
      <c r="D98" s="9">
        <v>4.0000000000000204</v>
      </c>
      <c r="E98" s="9">
        <v>9.0000000000000906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9" tint="0.39997558519241921"/>
  </sheetPr>
  <dimension ref="A1"/>
  <sheetViews>
    <sheetView workbookViewId="0">
      <selection activeCell="B2" sqref="B2"/>
    </sheetView>
  </sheetViews>
  <sheetFormatPr defaultRowHeight="14.4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33</vt:i4>
      </vt:variant>
      <vt:variant>
        <vt:lpstr>Named Ranges</vt:lpstr>
      </vt:variant>
      <vt:variant>
        <vt:i4>3</vt:i4>
      </vt:variant>
    </vt:vector>
  </HeadingPairs>
  <TitlesOfParts>
    <vt:vector size="36" baseType="lpstr">
      <vt:lpstr>REFS</vt:lpstr>
      <vt:lpstr>FIN_ETA</vt:lpstr>
      <vt:lpstr>Calcs method</vt:lpstr>
      <vt:lpstr>1_LDV calcs</vt:lpstr>
      <vt:lpstr>1_UK stats LDVs</vt:lpstr>
      <vt:lpstr>1_USA Table 1.8 realworld</vt:lpstr>
      <vt:lpstr>1_GFEI_IEA 2019</vt:lpstr>
      <vt:lpstr>1_summary econ graph</vt:lpstr>
      <vt:lpstr>Holmberg 2012</vt:lpstr>
      <vt:lpstr>UK JRC</vt:lpstr>
      <vt:lpstr>GER JRC</vt:lpstr>
      <vt:lpstr>EU-28 JRC</vt:lpstr>
      <vt:lpstr>Russia realworld cars 1985 2008</vt:lpstr>
      <vt:lpstr>2_Yang 2014</vt:lpstr>
      <vt:lpstr>Yang ICCT 2017</vt:lpstr>
      <vt:lpstr>3_Greene 2010</vt:lpstr>
      <vt:lpstr>4_Sugathapala 2015</vt:lpstr>
      <vt:lpstr>5_EEA 2000</vt:lpstr>
      <vt:lpstr>7_GFEI 2016</vt:lpstr>
      <vt:lpstr>8_ICCT 2014</vt:lpstr>
      <vt:lpstr>ICCT 2012</vt:lpstr>
      <vt:lpstr>Tietge 2017</vt:lpstr>
      <vt:lpstr>ss_Lutsey 2005</vt:lpstr>
      <vt:lpstr>Gohlke 2018</vt:lpstr>
      <vt:lpstr>An et al. 2001</vt:lpstr>
      <vt:lpstr>Weiss 2020</vt:lpstr>
      <vt:lpstr>Berry 2010</vt:lpstr>
      <vt:lpstr>An 2011</vt:lpstr>
      <vt:lpstr>USA fuel 1960</vt:lpstr>
      <vt:lpstr>Harvey 2020</vt:lpstr>
      <vt:lpstr>BRAZIL</vt:lpstr>
      <vt:lpstr>Transport Policy</vt:lpstr>
      <vt:lpstr>Transport Stat 2014 </vt:lpstr>
      <vt:lpstr>'EU-28 JRC'!Print_Titles</vt:lpstr>
      <vt:lpstr>'GER JRC'!Print_Titles</vt:lpstr>
      <vt:lpstr>'UK JRC'!Print_Titles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Anjana Sainju</dc:creator>
  <cp:lastModifiedBy>User</cp:lastModifiedBy>
  <dcterms:created xsi:type="dcterms:W3CDTF">2021-08-02T02:04:16Z</dcterms:created>
  <dcterms:modified xsi:type="dcterms:W3CDTF">2022-07-07T07:42:39Z</dcterms:modified>
</cp:coreProperties>
</file>